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420" windowHeight="7050" activeTab="0"/>
  </bookViews>
  <sheets>
    <sheet name="Ex 5.27" sheetId="1" r:id="rId1"/>
    <sheet name="Ex 5.29 (1) Tweedie" sheetId="2" r:id="rId2"/>
    <sheet name="Ex 5.29 (2) gamma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garvald</author>
  </authors>
  <commentList>
    <comment ref="A61" authorId="0">
      <text>
        <r>
          <rPr>
            <b/>
            <sz val="8"/>
            <rFont val="Tahoma"/>
            <family val="0"/>
          </rPr>
          <t>from Remarks 2.19</t>
        </r>
      </text>
    </comment>
    <comment ref="M49" authorId="0">
      <text>
        <r>
          <rPr>
            <b/>
            <sz val="8"/>
            <rFont val="Tahoma"/>
            <family val="0"/>
          </rPr>
          <t>from Remarks 2.19</t>
        </r>
      </text>
    </comment>
    <comment ref="M74" authorId="0">
      <text>
        <r>
          <rPr>
            <b/>
            <sz val="8"/>
            <rFont val="Tahoma"/>
            <family val="0"/>
          </rPr>
          <t>obtained with GLM software</t>
        </r>
      </text>
    </comment>
    <comment ref="A86" authorId="0">
      <text>
        <r>
          <rPr>
            <b/>
            <sz val="8"/>
            <rFont val="Tahoma"/>
            <family val="0"/>
          </rPr>
          <t>obtained with GLM software</t>
        </r>
      </text>
    </comment>
  </commentList>
</comments>
</file>

<file path=xl/comments2.xml><?xml version="1.0" encoding="utf-8"?>
<comments xmlns="http://schemas.openxmlformats.org/spreadsheetml/2006/main">
  <authors>
    <author>garvald</author>
  </authors>
  <commentList>
    <comment ref="A65" authorId="0">
      <text>
        <r>
          <rPr>
            <b/>
            <sz val="8"/>
            <rFont val="Tahoma"/>
            <family val="0"/>
          </rPr>
          <t>obtained with GLM software</t>
        </r>
      </text>
    </comment>
    <comment ref="W4" authorId="0">
      <text>
        <r>
          <rPr>
            <b/>
            <sz val="8"/>
            <rFont val="Tahoma"/>
            <family val="0"/>
          </rPr>
          <t xml:space="preserve">profile likelihood according to (5.53)
</t>
        </r>
        <r>
          <rPr>
            <sz val="8"/>
            <rFont val="Tahoma"/>
            <family val="2"/>
          </rPr>
          <t>We omit any normalizing constant.</t>
        </r>
      </text>
    </comment>
  </commentList>
</comments>
</file>

<file path=xl/comments3.xml><?xml version="1.0" encoding="utf-8"?>
<comments xmlns="http://schemas.openxmlformats.org/spreadsheetml/2006/main">
  <authors>
    <author>garvald</author>
  </authors>
  <commentList>
    <comment ref="A65" authorId="0">
      <text>
        <r>
          <rPr>
            <b/>
            <sz val="8"/>
            <rFont val="Tahoma"/>
            <family val="0"/>
          </rPr>
          <t>obtained with GLM software</t>
        </r>
      </text>
    </comment>
  </commentList>
</comments>
</file>

<file path=xl/sharedStrings.xml><?xml version="1.0" encoding="utf-8"?>
<sst xmlns="http://schemas.openxmlformats.org/spreadsheetml/2006/main" count="124" uniqueCount="65">
  <si>
    <t>cumulative payments</t>
  </si>
  <si>
    <t>Disclaimer.</t>
  </si>
  <si>
    <t>We accept no liability for any loss or damage as a result of the use of any form of this spreadsheet or its contents.</t>
  </si>
  <si>
    <t>sum column</t>
  </si>
  <si>
    <t>diag payments</t>
  </si>
  <si>
    <t>est. CL factor</t>
  </si>
  <si>
    <t>diag</t>
  </si>
  <si>
    <t>payments</t>
  </si>
  <si>
    <t>reserves</t>
  </si>
  <si>
    <t>prod CL factors</t>
  </si>
  <si>
    <t>beta pattern</t>
  </si>
  <si>
    <t>This example is for illustrative purposes only and not for professional use.</t>
  </si>
  <si>
    <t>© 2009, Wüthrich-Merz</t>
  </si>
  <si>
    <t>CL predictor</t>
  </si>
  <si>
    <t>mu</t>
  </si>
  <si>
    <t>gamma</t>
  </si>
  <si>
    <t>mu^(1-p)</t>
  </si>
  <si>
    <t>mu^(2-p)</t>
  </si>
  <si>
    <t>Case p=</t>
  </si>
  <si>
    <t>gamma^ (1-p)</t>
  </si>
  <si>
    <t>gamma^ (2-p)</t>
  </si>
  <si>
    <t>sum gamma^ (2-p)</t>
  </si>
  <si>
    <t>difference</t>
  </si>
  <si>
    <t>sum product</t>
  </si>
  <si>
    <t>sum mu^(2-p)</t>
  </si>
  <si>
    <t>sumproduct</t>
  </si>
  <si>
    <t>check=0?</t>
  </si>
  <si>
    <t>EDF</t>
  </si>
  <si>
    <t>p=1</t>
  </si>
  <si>
    <t>Obtained with CL estimate according to Remarks 2.19</t>
  </si>
  <si>
    <t>Example 5.27 (EDF)</t>
  </si>
  <si>
    <t>p=</t>
  </si>
  <si>
    <t>if different from zero then</t>
  </si>
  <si>
    <t>Newton Raphson's algorithm</t>
  </si>
  <si>
    <t xml:space="preserve">should be applied again </t>
  </si>
  <si>
    <t>until convergence (here p=2).</t>
  </si>
  <si>
    <t>incremental payments</t>
  </si>
  <si>
    <t>w i</t>
  </si>
  <si>
    <t>number of payments</t>
  </si>
  <si>
    <t>incremental payments X_i,j</t>
  </si>
  <si>
    <t>normalized payments Y_i,j</t>
  </si>
  <si>
    <t>mu * w</t>
  </si>
  <si>
    <t>sum w mu^(2-p)</t>
  </si>
  <si>
    <t>Example 5.29 (Tweedie's Compound Poisson Model, p known, weights w_i)</t>
  </si>
  <si>
    <t>caption</t>
  </si>
  <si>
    <t>p=2: Gamma model, Table 6.5</t>
  </si>
  <si>
    <t>p=1: overdispersed Poisson, Tables 5.9 &amp; 6.5</t>
  </si>
  <si>
    <t>p=1.5: Tweedie's model, Tables 5.9 &amp; 6.5</t>
  </si>
  <si>
    <t>Example 5.29 (Tweedie's Compound Poisson Model, p known, weights r_ij)</t>
  </si>
  <si>
    <t>number of payments r_i,j</t>
  </si>
  <si>
    <t>according to (5.49)-(5.50)</t>
  </si>
  <si>
    <t>according to (5.37)-(5.38)</t>
  </si>
  <si>
    <t>Obtained with GLM software (like SAS or R)</t>
  </si>
  <si>
    <t>mu^(-1)</t>
  </si>
  <si>
    <t>sum r_ij</t>
  </si>
  <si>
    <t>gamma^ (-1)</t>
  </si>
  <si>
    <t>sum rij</t>
  </si>
  <si>
    <t>Model Assumptions 5.19</t>
  </si>
  <si>
    <t>p=1.17426443010217: Tweedie Table 5.11</t>
  </si>
  <si>
    <t>p=1.17411355605763: Tweedie Table 5.11</t>
  </si>
  <si>
    <t>dispersion</t>
  </si>
  <si>
    <t>profile</t>
  </si>
  <si>
    <t>start</t>
  </si>
  <si>
    <t>stepsize</t>
  </si>
  <si>
    <t>p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</si>
</sst>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%"/>
    <numFmt numFmtId="168" formatCode="0.0"/>
    <numFmt numFmtId="169" formatCode="_ * #,##0.0_ ;_ * \-#,##0.0_ ;_ * &quot;-&quot;??_ ;_ @_ "/>
    <numFmt numFmtId="170" formatCode="_ * #,##0_ ;_ * \-#,##0_ ;_ * &quot;-&quot;??_ ;_ @_ "/>
    <numFmt numFmtId="171" formatCode="#,##0.0"/>
    <numFmt numFmtId="172" formatCode="#,##0.000"/>
    <numFmt numFmtId="173" formatCode="#,##0.0000"/>
    <numFmt numFmtId="174" formatCode="0.000%"/>
    <numFmt numFmtId="175" formatCode="0.0000%"/>
    <numFmt numFmtId="176" formatCode="0.00000%"/>
    <numFmt numFmtId="177" formatCode="0.000000%"/>
    <numFmt numFmtId="178" formatCode="#,##0.00;\-#,##0.00;0.00;@"/>
    <numFmt numFmtId="179" formatCode="0.0000000"/>
    <numFmt numFmtId="180" formatCode="0.000000"/>
    <numFmt numFmtId="181" formatCode="0.00000000000000000"/>
    <numFmt numFmtId="182" formatCode="#,##0.0000000"/>
    <numFmt numFmtId="183" formatCode="#,##0;\-#,##0;0;@"/>
    <numFmt numFmtId="184" formatCode="#,##0.000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6" xfId="0" applyNumberFormat="1" applyBorder="1" applyAlignment="1">
      <alignment/>
    </xf>
    <xf numFmtId="0" fontId="0" fillId="0" borderId="0" xfId="0" applyFont="1" applyAlignment="1">
      <alignment/>
    </xf>
    <xf numFmtId="3" fontId="0" fillId="2" borderId="2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7" xfId="0" applyNumberFormat="1" applyBorder="1" applyAlignment="1">
      <alignment/>
    </xf>
    <xf numFmtId="3" fontId="2" fillId="0" borderId="5" xfId="0" applyNumberFormat="1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19" applyNumberFormat="1" applyBorder="1" applyAlignment="1">
      <alignment/>
    </xf>
    <xf numFmtId="10" fontId="0" fillId="0" borderId="2" xfId="19" applyNumberFormat="1" applyBorder="1" applyAlignment="1">
      <alignment/>
    </xf>
    <xf numFmtId="0" fontId="0" fillId="0" borderId="2" xfId="0" applyBorder="1" applyAlignment="1">
      <alignment horizontal="right"/>
    </xf>
    <xf numFmtId="10" fontId="0" fillId="0" borderId="2" xfId="19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3" borderId="0" xfId="0" applyNumberFormat="1" applyFont="1" applyFill="1" applyAlignment="1">
      <alignment/>
    </xf>
    <xf numFmtId="3" fontId="0" fillId="3" borderId="2" xfId="0" applyNumberFormat="1" applyFont="1" applyFill="1" applyBorder="1" applyAlignment="1">
      <alignment/>
    </xf>
    <xf numFmtId="165" fontId="0" fillId="0" borderId="2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5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7" xfId="0" applyBorder="1" applyAlignment="1">
      <alignment/>
    </xf>
    <xf numFmtId="3" fontId="0" fillId="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0" borderId="0" xfId="0" applyFont="1" applyBorder="1" applyAlignment="1">
      <alignment horizontal="right"/>
    </xf>
    <xf numFmtId="17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5" xfId="0" applyFill="1" applyBorder="1" applyAlignment="1">
      <alignment horizontal="right"/>
    </xf>
    <xf numFmtId="10" fontId="0" fillId="0" borderId="7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173" fontId="0" fillId="0" borderId="2" xfId="0" applyNumberFormat="1" applyBorder="1" applyAlignment="1">
      <alignment/>
    </xf>
    <xf numFmtId="172" fontId="0" fillId="2" borderId="1" xfId="0" applyNumberFormat="1" applyFill="1" applyBorder="1" applyAlignment="1">
      <alignment/>
    </xf>
    <xf numFmtId="172" fontId="0" fillId="2" borderId="3" xfId="0" applyNumberFormat="1" applyFill="1" applyBorder="1" applyAlignment="1">
      <alignment/>
    </xf>
    <xf numFmtId="171" fontId="0" fillId="2" borderId="1" xfId="19" applyNumberFormat="1" applyFont="1" applyFill="1" applyBorder="1" applyAlignment="1">
      <alignment/>
    </xf>
    <xf numFmtId="171" fontId="0" fillId="2" borderId="1" xfId="19" applyNumberFormat="1" applyFill="1" applyBorder="1" applyAlignment="1">
      <alignment horizontal="right"/>
    </xf>
    <xf numFmtId="171" fontId="0" fillId="2" borderId="3" xfId="19" applyNumberFormat="1" applyFill="1" applyBorder="1" applyAlignment="1">
      <alignment horizontal="right"/>
    </xf>
    <xf numFmtId="165" fontId="0" fillId="2" borderId="0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3" fontId="0" fillId="2" borderId="0" xfId="19" applyNumberFormat="1" applyFill="1" applyBorder="1" applyAlignment="1">
      <alignment horizontal="right"/>
    </xf>
    <xf numFmtId="3" fontId="0" fillId="2" borderId="2" xfId="19" applyNumberFormat="1" applyFill="1" applyBorder="1" applyAlignment="1">
      <alignment horizontal="right"/>
    </xf>
    <xf numFmtId="3" fontId="0" fillId="0" borderId="0" xfId="19" applyNumberFormat="1" applyBorder="1" applyAlignment="1">
      <alignment/>
    </xf>
    <xf numFmtId="10" fontId="0" fillId="0" borderId="0" xfId="19" applyNumberFormat="1" applyBorder="1" applyAlignment="1">
      <alignment/>
    </xf>
    <xf numFmtId="3" fontId="0" fillId="0" borderId="0" xfId="19" applyNumberFormat="1" applyBorder="1" applyAlignment="1">
      <alignment/>
    </xf>
    <xf numFmtId="0" fontId="0" fillId="0" borderId="5" xfId="0" applyFill="1" applyBorder="1" applyAlignment="1">
      <alignment/>
    </xf>
    <xf numFmtId="3" fontId="0" fillId="0" borderId="0" xfId="15" applyNumberFormat="1" applyFont="1" applyFill="1" applyBorder="1" applyAlignment="1">
      <alignment horizontal="right"/>
    </xf>
    <xf numFmtId="3" fontId="0" fillId="0" borderId="2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6" xfId="0" applyNumberFormat="1" applyBorder="1" applyAlignment="1">
      <alignment/>
    </xf>
    <xf numFmtId="10" fontId="0" fillId="0" borderId="0" xfId="19" applyNumberFormat="1" applyBorder="1" applyAlignment="1">
      <alignment horizontal="right"/>
    </xf>
    <xf numFmtId="10" fontId="0" fillId="0" borderId="6" xfId="19" applyNumberFormat="1" applyBorder="1" applyAlignment="1">
      <alignment horizontal="right"/>
    </xf>
    <xf numFmtId="10" fontId="0" fillId="0" borderId="2" xfId="19" applyNumberFormat="1" applyBorder="1" applyAlignment="1">
      <alignment horizontal="right"/>
    </xf>
    <xf numFmtId="0" fontId="0" fillId="0" borderId="12" xfId="0" applyFill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14" xfId="0" applyNumberFormat="1" applyFill="1" applyBorder="1" applyAlignment="1">
      <alignment/>
    </xf>
    <xf numFmtId="171" fontId="0" fillId="0" borderId="13" xfId="19" applyNumberFormat="1" applyFont="1" applyFill="1" applyBorder="1" applyAlignment="1">
      <alignment/>
    </xf>
    <xf numFmtId="171" fontId="0" fillId="0" borderId="13" xfId="19" applyNumberFormat="1" applyFill="1" applyBorder="1" applyAlignment="1">
      <alignment horizontal="right"/>
    </xf>
    <xf numFmtId="171" fontId="0" fillId="0" borderId="14" xfId="19" applyNumberFormat="1" applyFill="1" applyBorder="1" applyAlignment="1">
      <alignment horizontal="right"/>
    </xf>
    <xf numFmtId="10" fontId="0" fillId="0" borderId="7" xfId="19" applyNumberFormat="1" applyBorder="1" applyAlignment="1">
      <alignment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10" fontId="0" fillId="0" borderId="7" xfId="19" applyNumberFormat="1" applyBorder="1" applyAlignment="1">
      <alignment/>
    </xf>
    <xf numFmtId="10" fontId="0" fillId="0" borderId="0" xfId="19" applyNumberFormat="1" applyBorder="1" applyAlignment="1">
      <alignment horizontal="right"/>
    </xf>
    <xf numFmtId="11" fontId="0" fillId="0" borderId="0" xfId="0" applyNumberFormat="1" applyBorder="1" applyAlignment="1">
      <alignment/>
    </xf>
    <xf numFmtId="182" fontId="0" fillId="0" borderId="5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43" fontId="0" fillId="0" borderId="0" xfId="15" applyBorder="1" applyAlignment="1">
      <alignment horizontal="right"/>
    </xf>
    <xf numFmtId="43" fontId="0" fillId="0" borderId="2" xfId="15" applyBorder="1" applyAlignment="1">
      <alignment horizontal="right"/>
    </xf>
    <xf numFmtId="0" fontId="0" fillId="0" borderId="4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Profile Likelihood (5.53) omiting normalizing constant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'Ex 5.29 (1) Tweedie'!$W$4</c:f>
              <c:strCache>
                <c:ptCount val="1"/>
                <c:pt idx="0">
                  <c:v>profile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5.29 (1) Tweedie'!$V$5:$V$37</c:f>
              <c:numCache/>
            </c:numRef>
          </c:xVal>
          <c:yVal>
            <c:numRef>
              <c:f>'Ex 5.29 (1) Tweedie'!$W$5:$W$37</c:f>
              <c:numCache/>
            </c:numRef>
          </c:yVal>
          <c:smooth val="1"/>
        </c:ser>
        <c:axId val="29922506"/>
        <c:axId val="867099"/>
      </c:scatterChart>
      <c:valAx>
        <c:axId val="29922506"/>
        <c:scaling>
          <c:orientation val="minMax"/>
          <c:max val="2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867099"/>
        <c:crosses val="autoZero"/>
        <c:crossBetween val="midCat"/>
        <c:dispUnits/>
      </c:valAx>
      <c:valAx>
        <c:axId val="86709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9225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22</xdr:row>
      <xdr:rowOff>114300</xdr:rowOff>
    </xdr:from>
    <xdr:to>
      <xdr:col>20</xdr:col>
      <xdr:colOff>533400</xdr:colOff>
      <xdr:row>46</xdr:row>
      <xdr:rowOff>123825</xdr:rowOff>
    </xdr:to>
    <xdr:graphicFrame>
      <xdr:nvGraphicFramePr>
        <xdr:cNvPr id="1" name="Chart 7"/>
        <xdr:cNvGraphicFramePr/>
      </xdr:nvGraphicFramePr>
      <xdr:xfrm>
        <a:off x="9077325" y="3752850"/>
        <a:ext cx="6181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_LaTeX\Lectures_Notes\2006_LossReserving\Excel\V1_Mario\Chapter6B_Tweed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"/>
      <sheetName val="Overview"/>
      <sheetName val="Matrizen"/>
      <sheetName val="FisherScoring"/>
      <sheetName val="Varianz"/>
      <sheetName val="MLE"/>
      <sheetName val="Gam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11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0" width="10.7109375" style="0" customWidth="1"/>
  </cols>
  <sheetData>
    <row r="1" spans="1:2" ht="12.75">
      <c r="A1" s="11" t="s">
        <v>1</v>
      </c>
      <c r="B1" s="11"/>
    </row>
    <row r="2" s="13" customFormat="1" ht="12.75" customHeight="1">
      <c r="A2" s="13" t="s">
        <v>11</v>
      </c>
    </row>
    <row r="3" s="13" customFormat="1" ht="12.75" customHeight="1">
      <c r="A3" s="13" t="s">
        <v>2</v>
      </c>
    </row>
    <row r="4" s="13" customFormat="1" ht="12.75" customHeight="1">
      <c r="A4" t="s">
        <v>12</v>
      </c>
    </row>
    <row r="5" s="13" customFormat="1" ht="12.75"/>
    <row r="6" ht="15.75">
      <c r="A6" s="4" t="s">
        <v>30</v>
      </c>
    </row>
    <row r="8" ht="12.75">
      <c r="A8" s="11" t="s">
        <v>0</v>
      </c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M9" s="16" t="s">
        <v>6</v>
      </c>
      <c r="N9" s="16" t="s">
        <v>13</v>
      </c>
      <c r="O9" s="17"/>
      <c r="P9" s="34" t="s">
        <v>27</v>
      </c>
      <c r="Q9" s="34" t="s">
        <v>27</v>
      </c>
    </row>
    <row r="10" spans="1:17" ht="12.75">
      <c r="A10" s="3"/>
      <c r="B10" s="2">
        <v>0</v>
      </c>
      <c r="C10" s="2">
        <f aca="true" t="shared" si="0" ref="C10:K10">B10+1</f>
        <v>1</v>
      </c>
      <c r="D10" s="2">
        <f t="shared" si="0"/>
        <v>2</v>
      </c>
      <c r="E10" s="2">
        <f t="shared" si="0"/>
        <v>3</v>
      </c>
      <c r="F10" s="2">
        <f t="shared" si="0"/>
        <v>4</v>
      </c>
      <c r="G10" s="2">
        <f t="shared" si="0"/>
        <v>5</v>
      </c>
      <c r="H10" s="2">
        <f t="shared" si="0"/>
        <v>6</v>
      </c>
      <c r="I10" s="2">
        <f t="shared" si="0"/>
        <v>7</v>
      </c>
      <c r="J10" s="2">
        <f t="shared" si="0"/>
        <v>8</v>
      </c>
      <c r="K10" s="2">
        <f t="shared" si="0"/>
        <v>9</v>
      </c>
      <c r="M10" s="23" t="s">
        <v>7</v>
      </c>
      <c r="N10" s="17"/>
      <c r="O10" s="17"/>
      <c r="P10" s="10" t="s">
        <v>28</v>
      </c>
      <c r="Q10" s="10" t="str">
        <f>"p="&amp;B71</f>
        <v>p=1.2</v>
      </c>
    </row>
    <row r="11" spans="1:17" ht="12.75">
      <c r="A11" s="1">
        <v>0</v>
      </c>
      <c r="B11" s="5">
        <v>5946975.449999999</v>
      </c>
      <c r="C11" s="5">
        <v>9668212.035</v>
      </c>
      <c r="D11" s="5">
        <v>10563929.325</v>
      </c>
      <c r="E11" s="5">
        <v>10771689.655</v>
      </c>
      <c r="F11" s="5">
        <v>10978393.645</v>
      </c>
      <c r="G11" s="5">
        <v>11040517.795</v>
      </c>
      <c r="H11" s="5">
        <v>11106331.215</v>
      </c>
      <c r="I11" s="5">
        <v>11121180.875</v>
      </c>
      <c r="J11" s="5">
        <v>11132310.405</v>
      </c>
      <c r="K11" s="5">
        <v>11148123.825</v>
      </c>
      <c r="M11" s="7">
        <f aca="true" t="shared" si="1" ref="M11:M20">INDEX(B11:K11,K$10-A11+1)</f>
        <v>11148123.825</v>
      </c>
      <c r="N11" s="18">
        <f>SUM(B34:K34)/INDEX(B$27:K$27,K$10+1-A11)</f>
        <v>11148123.825</v>
      </c>
      <c r="O11" s="7"/>
      <c r="P11" s="34"/>
      <c r="Q11" s="34"/>
    </row>
    <row r="12" spans="1:17" ht="12.75">
      <c r="A12" s="1">
        <f aca="true" t="shared" si="2" ref="A12:A20">A11+1</f>
        <v>1</v>
      </c>
      <c r="B12" s="5">
        <v>6346756.121088335</v>
      </c>
      <c r="C12" s="5">
        <v>9593161.71022243</v>
      </c>
      <c r="D12" s="5">
        <v>10316383.455589319</v>
      </c>
      <c r="E12" s="5">
        <v>10468180.234918753</v>
      </c>
      <c r="F12" s="5">
        <v>10536004.327810626</v>
      </c>
      <c r="G12" s="5">
        <v>10572607.806514177</v>
      </c>
      <c r="H12" s="5">
        <v>10625359.878763413</v>
      </c>
      <c r="I12" s="5">
        <v>10636546.271505505</v>
      </c>
      <c r="J12" s="5">
        <v>10648191.800681584</v>
      </c>
      <c r="K12" s="5"/>
      <c r="M12" s="7">
        <f t="shared" si="1"/>
        <v>10648191.800681584</v>
      </c>
      <c r="N12" s="7">
        <f aca="true" t="shared" si="3" ref="N12:N20">SUM(B35:K35)/INDEX(B$27:K$27,K$10+1-A12)</f>
        <v>10663317.531375283</v>
      </c>
      <c r="O12" s="7"/>
      <c r="P12" s="7">
        <f>SUM(B51:K51)</f>
        <v>15125.730693700274</v>
      </c>
      <c r="Q12" s="7">
        <f>SUM(B76:K76)</f>
        <v>14682.165630166897</v>
      </c>
    </row>
    <row r="13" spans="1:17" ht="12.75">
      <c r="A13" s="1">
        <f t="shared" si="2"/>
        <v>2</v>
      </c>
      <c r="B13" s="5">
        <v>6269090.211232325</v>
      </c>
      <c r="C13" s="5">
        <v>9245313.272709705</v>
      </c>
      <c r="D13" s="5">
        <v>10092365.968752814</v>
      </c>
      <c r="E13" s="5">
        <v>10355134.288356848</v>
      </c>
      <c r="F13" s="5">
        <v>10507837.38729655</v>
      </c>
      <c r="G13" s="5">
        <v>10573281.572556423</v>
      </c>
      <c r="H13" s="5">
        <v>10626826.815041773</v>
      </c>
      <c r="I13" s="5">
        <v>10635751.022122664</v>
      </c>
      <c r="J13" s="5"/>
      <c r="K13" s="5"/>
      <c r="M13" s="7">
        <f t="shared" si="1"/>
        <v>10635751.022122664</v>
      </c>
      <c r="N13" s="7">
        <f t="shared" si="3"/>
        <v>10662007.94494729</v>
      </c>
      <c r="O13" s="7"/>
      <c r="P13" s="7">
        <f aca="true" t="shared" si="4" ref="P13:Q20">SUM(B52:K52)</f>
        <v>26256.922824624176</v>
      </c>
      <c r="Q13" s="7">
        <f aca="true" t="shared" si="5" ref="Q13:Q20">SUM(B77:K77)</f>
        <v>26205.41387171312</v>
      </c>
    </row>
    <row r="14" spans="1:17" ht="12.75">
      <c r="A14" s="1">
        <f t="shared" si="2"/>
        <v>3</v>
      </c>
      <c r="B14" s="5">
        <v>5863014.807540223</v>
      </c>
      <c r="C14" s="5">
        <v>8546239.11002354</v>
      </c>
      <c r="D14" s="5">
        <v>9268770.831745785</v>
      </c>
      <c r="E14" s="5">
        <v>9459423.557167532</v>
      </c>
      <c r="F14" s="5">
        <v>9592399.150740609</v>
      </c>
      <c r="G14" s="5">
        <v>9680739.580037408</v>
      </c>
      <c r="H14" s="5">
        <v>9724068.209757265</v>
      </c>
      <c r="I14" s="5"/>
      <c r="J14" s="5"/>
      <c r="K14" s="5"/>
      <c r="M14" s="7">
        <f t="shared" si="1"/>
        <v>9724068.209757265</v>
      </c>
      <c r="N14" s="7">
        <f t="shared" si="3"/>
        <v>9758606.278015869</v>
      </c>
      <c r="O14" s="7"/>
      <c r="P14" s="7">
        <f t="shared" si="4"/>
        <v>34538.068258603926</v>
      </c>
      <c r="Q14" s="7">
        <f t="shared" si="5"/>
        <v>34367.185073507055</v>
      </c>
    </row>
    <row r="15" spans="1:17" ht="12.75">
      <c r="A15" s="1">
        <f t="shared" si="2"/>
        <v>4</v>
      </c>
      <c r="B15" s="5">
        <v>5778885.359646133</v>
      </c>
      <c r="C15" s="5">
        <v>8524114.268910643</v>
      </c>
      <c r="D15" s="5">
        <v>9178008.629228268</v>
      </c>
      <c r="E15" s="5">
        <v>9451404.116085205</v>
      </c>
      <c r="F15" s="5">
        <v>9681691.672127554</v>
      </c>
      <c r="G15" s="5">
        <v>9786916.051948782</v>
      </c>
      <c r="H15" s="5"/>
      <c r="I15" s="5"/>
      <c r="J15" s="5"/>
      <c r="K15" s="5"/>
      <c r="M15" s="7">
        <f t="shared" si="1"/>
        <v>9786916.051948782</v>
      </c>
      <c r="N15" s="7">
        <f t="shared" si="3"/>
        <v>9872217.590649772</v>
      </c>
      <c r="O15" s="7"/>
      <c r="P15" s="7">
        <f t="shared" si="4"/>
        <v>85301.53870099115</v>
      </c>
      <c r="Q15" s="7">
        <f t="shared" si="5"/>
        <v>86424.90699872145</v>
      </c>
    </row>
    <row r="16" spans="1:17" ht="12.75">
      <c r="A16" s="1">
        <f t="shared" si="2"/>
        <v>5</v>
      </c>
      <c r="B16" s="5">
        <v>6184793.399572363</v>
      </c>
      <c r="C16" s="5">
        <v>9013131.87453573</v>
      </c>
      <c r="D16" s="5">
        <v>9585896.654940045</v>
      </c>
      <c r="E16" s="5">
        <v>9830796.08111641</v>
      </c>
      <c r="F16" s="5">
        <v>9935752.978049139</v>
      </c>
      <c r="G16" s="5"/>
      <c r="H16" s="5"/>
      <c r="I16" s="5"/>
      <c r="J16" s="5"/>
      <c r="K16" s="5"/>
      <c r="M16" s="7">
        <f t="shared" si="1"/>
        <v>9935752.978049139</v>
      </c>
      <c r="N16" s="7">
        <f t="shared" si="3"/>
        <v>10092246.86912595</v>
      </c>
      <c r="O16" s="7"/>
      <c r="P16" s="7">
        <f t="shared" si="4"/>
        <v>156493.89107681028</v>
      </c>
      <c r="Q16" s="7">
        <f t="shared" si="5"/>
        <v>154805.49002737977</v>
      </c>
    </row>
    <row r="17" spans="1:17" ht="12.75">
      <c r="A17" s="1">
        <f t="shared" si="2"/>
        <v>6</v>
      </c>
      <c r="B17" s="5">
        <v>5600184.39631737</v>
      </c>
      <c r="C17" s="5">
        <v>8493391.299402948</v>
      </c>
      <c r="D17" s="5">
        <v>9056505.210042793</v>
      </c>
      <c r="E17" s="5">
        <v>9282022.219649784</v>
      </c>
      <c r="F17" s="5"/>
      <c r="G17" s="5"/>
      <c r="H17" s="5"/>
      <c r="I17" s="5"/>
      <c r="J17" s="5"/>
      <c r="K17" s="5"/>
      <c r="M17" s="7">
        <f t="shared" si="1"/>
        <v>9282022.219649784</v>
      </c>
      <c r="N17" s="7">
        <f t="shared" si="3"/>
        <v>9568142.946808623</v>
      </c>
      <c r="O17" s="7"/>
      <c r="P17" s="7">
        <f t="shared" si="4"/>
        <v>286120.72715883807</v>
      </c>
      <c r="Q17" s="7">
        <f t="shared" si="5"/>
        <v>285175.50962229783</v>
      </c>
    </row>
    <row r="18" spans="1:17" ht="12.75">
      <c r="A18" s="1">
        <f t="shared" si="2"/>
        <v>7</v>
      </c>
      <c r="B18" s="5">
        <v>5288065.615019468</v>
      </c>
      <c r="C18" s="5">
        <v>7728168.797233385</v>
      </c>
      <c r="D18" s="5">
        <v>8256211.357257279</v>
      </c>
      <c r="E18" s="5"/>
      <c r="F18" s="5"/>
      <c r="G18" s="5"/>
      <c r="H18" s="5"/>
      <c r="I18" s="5"/>
      <c r="J18" s="5"/>
      <c r="K18" s="5"/>
      <c r="M18" s="7">
        <f t="shared" si="1"/>
        <v>8256211.357257279</v>
      </c>
      <c r="N18" s="7">
        <f t="shared" si="3"/>
        <v>8705378.091909481</v>
      </c>
      <c r="O18" s="7"/>
      <c r="P18" s="7">
        <f t="shared" si="4"/>
        <v>449166.7346522026</v>
      </c>
      <c r="Q18" s="7">
        <f t="shared" si="5"/>
        <v>446155.5237990741</v>
      </c>
    </row>
    <row r="19" spans="1:17" ht="12.75">
      <c r="A19" s="1">
        <f t="shared" si="2"/>
        <v>8</v>
      </c>
      <c r="B19" s="5">
        <v>5290792.945441608</v>
      </c>
      <c r="C19" s="5">
        <v>7648728.911074035</v>
      </c>
      <c r="D19" s="5"/>
      <c r="E19" s="5"/>
      <c r="F19" s="5"/>
      <c r="G19" s="5"/>
      <c r="H19" s="5"/>
      <c r="I19" s="5"/>
      <c r="J19" s="5"/>
      <c r="K19" s="5"/>
      <c r="M19" s="7">
        <f t="shared" si="1"/>
        <v>7648728.911074035</v>
      </c>
      <c r="N19" s="7">
        <f t="shared" si="3"/>
        <v>8691971.077170543</v>
      </c>
      <c r="O19" s="7"/>
      <c r="P19" s="7">
        <f t="shared" si="4"/>
        <v>1043242.1660965092</v>
      </c>
      <c r="Q19" s="7">
        <f t="shared" si="5"/>
        <v>1038346.5376559219</v>
      </c>
    </row>
    <row r="20" spans="1:17" ht="12.75">
      <c r="A20" s="3">
        <f t="shared" si="2"/>
        <v>9</v>
      </c>
      <c r="B20" s="12">
        <v>5675568.139045331</v>
      </c>
      <c r="C20" s="6"/>
      <c r="D20" s="6"/>
      <c r="E20" s="6"/>
      <c r="F20" s="6"/>
      <c r="G20" s="6"/>
      <c r="H20" s="6"/>
      <c r="I20" s="6"/>
      <c r="J20" s="6"/>
      <c r="K20" s="6"/>
      <c r="M20" s="6">
        <f t="shared" si="1"/>
        <v>5675568.139045331</v>
      </c>
      <c r="N20" s="6">
        <f t="shared" si="3"/>
        <v>9626382.988397779</v>
      </c>
      <c r="O20" s="7"/>
      <c r="P20" s="7">
        <f t="shared" si="4"/>
        <v>3950814.8493524482</v>
      </c>
      <c r="Q20" s="7">
        <f t="shared" si="5"/>
        <v>3945267.7946729832</v>
      </c>
    </row>
    <row r="21" spans="13:17" ht="12.75">
      <c r="M21" s="9"/>
      <c r="N21" s="33"/>
      <c r="O21" s="43"/>
      <c r="P21" s="19">
        <f>SUM(P11:P20)</f>
        <v>6047060.628814728</v>
      </c>
      <c r="Q21" s="19">
        <f>SUM(Q11:Q20)</f>
        <v>6031430.527351765</v>
      </c>
    </row>
    <row r="23" spans="1:11" ht="12.75">
      <c r="A23" s="30" t="s">
        <v>3</v>
      </c>
      <c r="B23" s="18">
        <f aca="true" t="shared" si="6" ref="B23:K23">SUM(B11:B20)</f>
        <v>58244126.44490316</v>
      </c>
      <c r="C23" s="18">
        <f t="shared" si="6"/>
        <v>78460461.27911243</v>
      </c>
      <c r="D23" s="18">
        <f t="shared" si="6"/>
        <v>76318071.4325563</v>
      </c>
      <c r="E23" s="18">
        <f t="shared" si="6"/>
        <v>69618650.15229452</v>
      </c>
      <c r="F23" s="18">
        <f t="shared" si="6"/>
        <v>61232079.16102447</v>
      </c>
      <c r="G23" s="18">
        <f t="shared" si="6"/>
        <v>51654062.80605678</v>
      </c>
      <c r="H23" s="18">
        <f t="shared" si="6"/>
        <v>42082586.118562445</v>
      </c>
      <c r="I23" s="18">
        <f t="shared" si="6"/>
        <v>32393478.16862817</v>
      </c>
      <c r="J23" s="18">
        <f t="shared" si="6"/>
        <v>21780502.205681585</v>
      </c>
      <c r="K23" s="18">
        <f t="shared" si="6"/>
        <v>11148123.825</v>
      </c>
    </row>
    <row r="24" spans="1:20" ht="12.75">
      <c r="A24" s="1" t="s">
        <v>4</v>
      </c>
      <c r="B24" s="7">
        <f aca="true" t="shared" si="7" ref="B24:K24">INDEX(B11:B20,$A20-B10+1)</f>
        <v>5675568.139045331</v>
      </c>
      <c r="C24" s="7">
        <f t="shared" si="7"/>
        <v>7648728.911074035</v>
      </c>
      <c r="D24" s="7">
        <f t="shared" si="7"/>
        <v>8256211.357257279</v>
      </c>
      <c r="E24" s="7">
        <f t="shared" si="7"/>
        <v>9282022.219649784</v>
      </c>
      <c r="F24" s="7">
        <f t="shared" si="7"/>
        <v>9935752.978049139</v>
      </c>
      <c r="G24" s="7">
        <f t="shared" si="7"/>
        <v>9786916.051948782</v>
      </c>
      <c r="H24" s="7">
        <f t="shared" si="7"/>
        <v>9724068.209757265</v>
      </c>
      <c r="I24" s="7">
        <f t="shared" si="7"/>
        <v>10635751.022122664</v>
      </c>
      <c r="J24" s="7">
        <f t="shared" si="7"/>
        <v>10648191.800681584</v>
      </c>
      <c r="K24" s="7">
        <f t="shared" si="7"/>
        <v>11148123.825</v>
      </c>
      <c r="T24" s="10"/>
    </row>
    <row r="25" spans="1:11" ht="12.75">
      <c r="A25" s="1" t="s">
        <v>5</v>
      </c>
      <c r="B25" s="31">
        <f aca="true" t="shared" si="8" ref="B25:J25">C23/(B23-B24)</f>
        <v>1.4925359151492918</v>
      </c>
      <c r="C25" s="31">
        <f t="shared" si="8"/>
        <v>1.0777602648654203</v>
      </c>
      <c r="D25" s="31">
        <f t="shared" si="8"/>
        <v>1.0228731638434971</v>
      </c>
      <c r="E25" s="31">
        <f t="shared" si="8"/>
        <v>1.0148409226544672</v>
      </c>
      <c r="F25" s="31">
        <f t="shared" si="8"/>
        <v>1.0069739228849526</v>
      </c>
      <c r="G25" s="31">
        <f t="shared" si="8"/>
        <v>1.005145785685367</v>
      </c>
      <c r="H25" s="31">
        <f t="shared" si="8"/>
        <v>1.0010804036180372</v>
      </c>
      <c r="I25" s="31">
        <f t="shared" si="8"/>
        <v>1.0010467572749087</v>
      </c>
      <c r="J25" s="31">
        <f t="shared" si="8"/>
        <v>1.001420497580888</v>
      </c>
      <c r="K25" s="10"/>
    </row>
    <row r="26" spans="1:11" ht="12.75">
      <c r="A26" s="1" t="s">
        <v>9</v>
      </c>
      <c r="B26" s="31">
        <f aca="true" t="shared" si="9" ref="B26:J26">C26*B25</f>
        <v>1.6961091387790124</v>
      </c>
      <c r="C26" s="31">
        <f t="shared" si="9"/>
        <v>1.1363941876128039</v>
      </c>
      <c r="D26" s="31">
        <f t="shared" si="9"/>
        <v>1.05440349274215</v>
      </c>
      <c r="E26" s="31">
        <f t="shared" si="9"/>
        <v>1.0308252577281196</v>
      </c>
      <c r="F26" s="31">
        <f t="shared" si="9"/>
        <v>1.0157505819058252</v>
      </c>
      <c r="G26" s="31">
        <f t="shared" si="9"/>
        <v>1.008715875179496</v>
      </c>
      <c r="H26" s="31">
        <f t="shared" si="9"/>
        <v>1.003551812627553</v>
      </c>
      <c r="I26" s="31">
        <f t="shared" si="9"/>
        <v>1.0024687417719735</v>
      </c>
      <c r="J26" s="31">
        <f t="shared" si="9"/>
        <v>1.001420497580888</v>
      </c>
      <c r="K26" s="31">
        <v>1</v>
      </c>
    </row>
    <row r="27" spans="1:11" ht="12.75">
      <c r="A27" s="3" t="s">
        <v>10</v>
      </c>
      <c r="B27" s="24">
        <f aca="true" t="shared" si="10" ref="B27:K27">1/B26</f>
        <v>0.5895847013240407</v>
      </c>
      <c r="C27" s="24">
        <f t="shared" si="10"/>
        <v>0.8799763417486991</v>
      </c>
      <c r="D27" s="24">
        <f t="shared" si="10"/>
        <v>0.9484035351583816</v>
      </c>
      <c r="E27" s="24">
        <f t="shared" si="10"/>
        <v>0.970096524607811</v>
      </c>
      <c r="F27" s="24">
        <f t="shared" si="10"/>
        <v>0.984493652096883</v>
      </c>
      <c r="G27" s="24">
        <f t="shared" si="10"/>
        <v>0.991359434907332</v>
      </c>
      <c r="H27" s="24">
        <f t="shared" si="10"/>
        <v>0.9964607580965316</v>
      </c>
      <c r="I27" s="24">
        <f t="shared" si="10"/>
        <v>0.9975373379048111</v>
      </c>
      <c r="J27" s="24">
        <f t="shared" si="10"/>
        <v>0.998581517370256</v>
      </c>
      <c r="K27" s="24">
        <f t="shared" si="10"/>
        <v>1</v>
      </c>
    </row>
    <row r="28" spans="2:11" ht="12.75"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31" ht="12.75">
      <c r="A31" s="11" t="s">
        <v>36</v>
      </c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3"/>
      <c r="B33" s="2">
        <v>0</v>
      </c>
      <c r="C33" s="2">
        <f aca="true" t="shared" si="11" ref="C33:K33">B33+1</f>
        <v>1</v>
      </c>
      <c r="D33" s="2">
        <f t="shared" si="11"/>
        <v>2</v>
      </c>
      <c r="E33" s="2">
        <f t="shared" si="11"/>
        <v>3</v>
      </c>
      <c r="F33" s="2">
        <f t="shared" si="11"/>
        <v>4</v>
      </c>
      <c r="G33" s="2">
        <f t="shared" si="11"/>
        <v>5</v>
      </c>
      <c r="H33" s="2">
        <f t="shared" si="11"/>
        <v>6</v>
      </c>
      <c r="I33" s="2">
        <f t="shared" si="11"/>
        <v>7</v>
      </c>
      <c r="J33" s="2">
        <f t="shared" si="11"/>
        <v>8</v>
      </c>
      <c r="K33" s="2">
        <f t="shared" si="11"/>
        <v>9</v>
      </c>
    </row>
    <row r="34" spans="1:11" ht="12.75">
      <c r="A34" s="1">
        <v>0</v>
      </c>
      <c r="B34" s="25">
        <f>B11</f>
        <v>5946975.449999999</v>
      </c>
      <c r="C34" s="5">
        <f>C11-B11</f>
        <v>3721236.585000001</v>
      </c>
      <c r="D34" s="5">
        <f aca="true" t="shared" si="12" ref="D34:J41">D11-C11</f>
        <v>895717.2899999991</v>
      </c>
      <c r="E34" s="5">
        <f t="shared" si="12"/>
        <v>207760.33000000007</v>
      </c>
      <c r="F34" s="5">
        <f t="shared" si="12"/>
        <v>206703.99000000022</v>
      </c>
      <c r="G34" s="5">
        <f t="shared" si="12"/>
        <v>62124.15000000037</v>
      </c>
      <c r="H34" s="5">
        <f t="shared" si="12"/>
        <v>65813.41999999993</v>
      </c>
      <c r="I34" s="5">
        <f t="shared" si="12"/>
        <v>14849.660000000149</v>
      </c>
      <c r="J34" s="5">
        <f t="shared" si="12"/>
        <v>11129.52999999933</v>
      </c>
      <c r="K34" s="5">
        <f>K11-J11</f>
        <v>15813.419999999925</v>
      </c>
    </row>
    <row r="35" spans="1:11" ht="12.75">
      <c r="A35" s="1">
        <f aca="true" t="shared" si="13" ref="A35:A43">A34+1</f>
        <v>1</v>
      </c>
      <c r="B35" s="26">
        <f aca="true" t="shared" si="14" ref="B35:B43">B12</f>
        <v>6346756.121088335</v>
      </c>
      <c r="C35" s="5">
        <f aca="true" t="shared" si="15" ref="C35:C42">C12-B12</f>
        <v>3246405.5891340952</v>
      </c>
      <c r="D35" s="5">
        <f t="shared" si="12"/>
        <v>723221.7453668881</v>
      </c>
      <c r="E35" s="5">
        <f t="shared" si="12"/>
        <v>151796.77932943404</v>
      </c>
      <c r="F35" s="5">
        <f t="shared" si="12"/>
        <v>67824.09289187379</v>
      </c>
      <c r="G35" s="5">
        <f t="shared" si="12"/>
        <v>36603.478703550994</v>
      </c>
      <c r="H35" s="5">
        <f t="shared" si="12"/>
        <v>52752.072249235585</v>
      </c>
      <c r="I35" s="5">
        <f t="shared" si="12"/>
        <v>11186.39274209179</v>
      </c>
      <c r="J35" s="5">
        <f t="shared" si="12"/>
        <v>11645.529176078737</v>
      </c>
      <c r="K35" s="27"/>
    </row>
    <row r="36" spans="1:11" ht="12.75">
      <c r="A36" s="1">
        <f t="shared" si="13"/>
        <v>2</v>
      </c>
      <c r="B36" s="26">
        <f t="shared" si="14"/>
        <v>6269090.211232325</v>
      </c>
      <c r="C36" s="5">
        <f t="shared" si="15"/>
        <v>2976223.06147738</v>
      </c>
      <c r="D36" s="5">
        <f t="shared" si="12"/>
        <v>847052.6960431095</v>
      </c>
      <c r="E36" s="5">
        <f t="shared" si="12"/>
        <v>262768.3196040336</v>
      </c>
      <c r="F36" s="5">
        <f t="shared" si="12"/>
        <v>152703.09893970191</v>
      </c>
      <c r="G36" s="5">
        <f t="shared" si="12"/>
        <v>65444.18525987305</v>
      </c>
      <c r="H36" s="5">
        <f t="shared" si="12"/>
        <v>53545.24248535</v>
      </c>
      <c r="I36" s="5">
        <f t="shared" si="12"/>
        <v>8924.207080891356</v>
      </c>
      <c r="J36" s="27"/>
      <c r="K36" s="27"/>
    </row>
    <row r="37" spans="1:11" ht="12.75">
      <c r="A37" s="1">
        <f t="shared" si="13"/>
        <v>3</v>
      </c>
      <c r="B37" s="26">
        <f t="shared" si="14"/>
        <v>5863014.807540223</v>
      </c>
      <c r="C37" s="5">
        <f t="shared" si="15"/>
        <v>2683224.3024833165</v>
      </c>
      <c r="D37" s="5">
        <f t="shared" si="12"/>
        <v>722531.7217222452</v>
      </c>
      <c r="E37" s="5">
        <f t="shared" si="12"/>
        <v>190652.7254217472</v>
      </c>
      <c r="F37" s="5">
        <f t="shared" si="12"/>
        <v>132975.59357307665</v>
      </c>
      <c r="G37" s="5">
        <f t="shared" si="12"/>
        <v>88340.429296799</v>
      </c>
      <c r="H37" s="5">
        <f t="shared" si="12"/>
        <v>43328.62971985713</v>
      </c>
      <c r="I37" s="27"/>
      <c r="J37" s="27"/>
      <c r="K37" s="27"/>
    </row>
    <row r="38" spans="1:11" ht="12.75">
      <c r="A38" s="1">
        <f t="shared" si="13"/>
        <v>4</v>
      </c>
      <c r="B38" s="26">
        <f t="shared" si="14"/>
        <v>5778885.359646133</v>
      </c>
      <c r="C38" s="5">
        <f t="shared" si="15"/>
        <v>2745228.9092645096</v>
      </c>
      <c r="D38" s="5">
        <f t="shared" si="12"/>
        <v>653894.3603176251</v>
      </c>
      <c r="E38" s="5">
        <f t="shared" si="12"/>
        <v>273395.4868569374</v>
      </c>
      <c r="F38" s="5">
        <f t="shared" si="12"/>
        <v>230287.55604234897</v>
      </c>
      <c r="G38" s="5">
        <f t="shared" si="12"/>
        <v>105224.37982122786</v>
      </c>
      <c r="H38" s="27"/>
      <c r="I38" s="27"/>
      <c r="J38" s="27"/>
      <c r="K38" s="27"/>
    </row>
    <row r="39" spans="1:11" ht="12.75">
      <c r="A39" s="1">
        <f t="shared" si="13"/>
        <v>5</v>
      </c>
      <c r="B39" s="26">
        <f t="shared" si="14"/>
        <v>6184793.399572363</v>
      </c>
      <c r="C39" s="5">
        <f t="shared" si="15"/>
        <v>2828338.474963367</v>
      </c>
      <c r="D39" s="5">
        <f t="shared" si="12"/>
        <v>572764.7804043144</v>
      </c>
      <c r="E39" s="5">
        <f t="shared" si="12"/>
        <v>244899.42617636546</v>
      </c>
      <c r="F39" s="5">
        <f t="shared" si="12"/>
        <v>104956.89693272859</v>
      </c>
      <c r="G39" s="27"/>
      <c r="H39" s="27"/>
      <c r="I39" s="27"/>
      <c r="J39" s="27"/>
      <c r="K39" s="27"/>
    </row>
    <row r="40" spans="1:11" ht="12.75">
      <c r="A40" s="1">
        <f t="shared" si="13"/>
        <v>6</v>
      </c>
      <c r="B40" s="26">
        <f t="shared" si="14"/>
        <v>5600184.39631737</v>
      </c>
      <c r="C40" s="5">
        <f t="shared" si="15"/>
        <v>2893206.9030855782</v>
      </c>
      <c r="D40" s="5">
        <f t="shared" si="12"/>
        <v>563113.9106398448</v>
      </c>
      <c r="E40" s="5">
        <f t="shared" si="12"/>
        <v>225517.00960699096</v>
      </c>
      <c r="F40" s="27"/>
      <c r="G40" s="27"/>
      <c r="H40" s="27"/>
      <c r="I40" s="27"/>
      <c r="J40" s="27"/>
      <c r="K40" s="27"/>
    </row>
    <row r="41" spans="1:11" ht="12.75">
      <c r="A41" s="1">
        <f t="shared" si="13"/>
        <v>7</v>
      </c>
      <c r="B41" s="26">
        <f t="shared" si="14"/>
        <v>5288065.615019468</v>
      </c>
      <c r="C41" s="5">
        <f t="shared" si="15"/>
        <v>2440103.1822139174</v>
      </c>
      <c r="D41" s="5">
        <f t="shared" si="12"/>
        <v>528042.5600238936</v>
      </c>
      <c r="E41" s="27"/>
      <c r="F41" s="27"/>
      <c r="G41" s="27"/>
      <c r="H41" s="27"/>
      <c r="I41" s="27"/>
      <c r="J41" s="27"/>
      <c r="K41" s="27"/>
    </row>
    <row r="42" spans="1:11" ht="12.75">
      <c r="A42" s="1">
        <f t="shared" si="13"/>
        <v>8</v>
      </c>
      <c r="B42" s="26">
        <f t="shared" si="14"/>
        <v>5290792.945441608</v>
      </c>
      <c r="C42" s="5">
        <f t="shared" si="15"/>
        <v>2357935.9656324266</v>
      </c>
      <c r="D42" s="27"/>
      <c r="E42" s="27"/>
      <c r="F42" s="27"/>
      <c r="G42" s="27"/>
      <c r="H42" s="27"/>
      <c r="I42" s="27"/>
      <c r="J42" s="27"/>
      <c r="K42" s="27"/>
    </row>
    <row r="43" spans="1:11" ht="12.75">
      <c r="A43" s="3">
        <f t="shared" si="13"/>
        <v>9</v>
      </c>
      <c r="B43" s="12">
        <f t="shared" si="14"/>
        <v>5675568.139045331</v>
      </c>
      <c r="C43" s="28"/>
      <c r="D43" s="28"/>
      <c r="E43" s="28"/>
      <c r="F43" s="28"/>
      <c r="G43" s="28"/>
      <c r="H43" s="28"/>
      <c r="I43" s="28"/>
      <c r="J43" s="28"/>
      <c r="K43" s="28"/>
    </row>
    <row r="46" spans="1:2" ht="12.75">
      <c r="A46" s="37" t="s">
        <v>18</v>
      </c>
      <c r="B46" s="38">
        <v>1</v>
      </c>
    </row>
    <row r="47" ht="12.75">
      <c r="A47" s="36" t="s">
        <v>29</v>
      </c>
    </row>
    <row r="49" spans="1:18" ht="12.75">
      <c r="A49" s="8"/>
      <c r="B49" s="9">
        <v>0</v>
      </c>
      <c r="C49" s="9">
        <f aca="true" t="shared" si="16" ref="C49:K49">B49+1</f>
        <v>1</v>
      </c>
      <c r="D49" s="9">
        <f t="shared" si="16"/>
        <v>2</v>
      </c>
      <c r="E49" s="9">
        <f t="shared" si="16"/>
        <v>3</v>
      </c>
      <c r="F49" s="9">
        <f t="shared" si="16"/>
        <v>4</v>
      </c>
      <c r="G49" s="9">
        <f t="shared" si="16"/>
        <v>5</v>
      </c>
      <c r="H49" s="9">
        <f t="shared" si="16"/>
        <v>6</v>
      </c>
      <c r="I49" s="9">
        <f t="shared" si="16"/>
        <v>7</v>
      </c>
      <c r="J49" s="9">
        <f t="shared" si="16"/>
        <v>8</v>
      </c>
      <c r="K49" s="9">
        <f t="shared" si="16"/>
        <v>9</v>
      </c>
      <c r="M49" s="32" t="s">
        <v>14</v>
      </c>
      <c r="N49" s="32" t="s">
        <v>16</v>
      </c>
      <c r="O49" s="32" t="s">
        <v>17</v>
      </c>
      <c r="P49" s="32" t="s">
        <v>24</v>
      </c>
      <c r="Q49" s="46" t="s">
        <v>25</v>
      </c>
      <c r="R49" s="46" t="s">
        <v>22</v>
      </c>
    </row>
    <row r="50" spans="1:18" ht="12.75">
      <c r="A50" s="30">
        <v>0</v>
      </c>
      <c r="B50" s="25"/>
      <c r="C50" s="18"/>
      <c r="D50" s="18"/>
      <c r="E50" s="18"/>
      <c r="F50" s="18"/>
      <c r="G50" s="18"/>
      <c r="H50" s="18"/>
      <c r="I50" s="18"/>
      <c r="J50" s="18"/>
      <c r="K50" s="18"/>
      <c r="M50" s="7">
        <f>N11</f>
        <v>11148123.825</v>
      </c>
      <c r="N50" s="10">
        <f>$M50^(1-$B$46)</f>
        <v>1</v>
      </c>
      <c r="O50" s="7">
        <f>$M50^(2-$B$46)</f>
        <v>11148123.825</v>
      </c>
      <c r="P50" s="7">
        <f>SUM(O$50:O50)</f>
        <v>11148123.825</v>
      </c>
      <c r="Q50" s="7">
        <f>SUMPRODUCT(B34:K34,B$62:K$62)</f>
        <v>11148123.825</v>
      </c>
      <c r="R50" s="31">
        <f>INDEX(B$64:K$64,K$49+1-A50)*M50-Q50</f>
        <v>0</v>
      </c>
    </row>
    <row r="51" spans="1:18" ht="12.75">
      <c r="A51" s="1">
        <f aca="true" t="shared" si="17" ref="A51:A59">A50+1</f>
        <v>1</v>
      </c>
      <c r="B51" s="26"/>
      <c r="C51" s="7"/>
      <c r="D51" s="7"/>
      <c r="E51" s="7"/>
      <c r="F51" s="7"/>
      <c r="G51" s="7"/>
      <c r="H51" s="7"/>
      <c r="I51" s="7"/>
      <c r="J51" s="7"/>
      <c r="K51" s="35">
        <f>$M51*K$61</f>
        <v>15125.730693700274</v>
      </c>
      <c r="M51" s="7">
        <f>N12</f>
        <v>10663317.531375283</v>
      </c>
      <c r="N51" s="10">
        <f aca="true" t="shared" si="18" ref="N51:N59">$M51^(1-$B$46)</f>
        <v>1</v>
      </c>
      <c r="O51" s="7">
        <f aca="true" t="shared" si="19" ref="O51:O59">$M51^(2-$B$46)</f>
        <v>10663317.531375283</v>
      </c>
      <c r="P51" s="7">
        <f>SUM(O$50:O51)</f>
        <v>21811441.356375284</v>
      </c>
      <c r="Q51" s="7">
        <f>SUMPRODUCT(B35:K35,B$62:K$62)</f>
        <v>10648191.800681584</v>
      </c>
      <c r="R51" s="31">
        <f aca="true" t="shared" si="20" ref="R51:R59">INDEX(B$64:K$64,K$49+1-A51)*M51-Q51</f>
        <v>0</v>
      </c>
    </row>
    <row r="52" spans="1:18" ht="12.75">
      <c r="A52" s="1">
        <f t="shared" si="17"/>
        <v>2</v>
      </c>
      <c r="B52" s="26"/>
      <c r="C52" s="7"/>
      <c r="D52" s="7"/>
      <c r="E52" s="7"/>
      <c r="F52" s="7"/>
      <c r="G52" s="7"/>
      <c r="H52" s="7"/>
      <c r="I52" s="7"/>
      <c r="J52" s="35">
        <f>$M52*J$61</f>
        <v>11133.049756524159</v>
      </c>
      <c r="K52" s="35">
        <f>$M52*K$61</f>
        <v>15123.873068100016</v>
      </c>
      <c r="M52" s="7">
        <f>N13</f>
        <v>10662007.94494729</v>
      </c>
      <c r="N52" s="10">
        <f t="shared" si="18"/>
        <v>1</v>
      </c>
      <c r="O52" s="7">
        <f t="shared" si="19"/>
        <v>10662007.94494729</v>
      </c>
      <c r="P52" s="7">
        <f>SUM(O$50:O52)</f>
        <v>32473449.301322572</v>
      </c>
      <c r="Q52" s="7">
        <f>SUMPRODUCT(B36:K36,B$62:K$62)</f>
        <v>10635751.022122664</v>
      </c>
      <c r="R52" s="31">
        <f t="shared" si="20"/>
        <v>0</v>
      </c>
    </row>
    <row r="53" spans="1:18" ht="12.75">
      <c r="A53" s="1">
        <f t="shared" si="17"/>
        <v>3</v>
      </c>
      <c r="B53" s="26"/>
      <c r="C53" s="7"/>
      <c r="D53" s="7"/>
      <c r="E53" s="7"/>
      <c r="F53" s="7"/>
      <c r="G53" s="7"/>
      <c r="H53" s="7"/>
      <c r="I53" s="35">
        <f>$M53*I$61</f>
        <v>10505.918475862194</v>
      </c>
      <c r="J53" s="35">
        <f>$M53*J$61</f>
        <v>10189.736286865691</v>
      </c>
      <c r="K53" s="35">
        <f>$M53*K$61</f>
        <v>13842.413495876042</v>
      </c>
      <c r="M53" s="7">
        <f>N14</f>
        <v>9758606.278015869</v>
      </c>
      <c r="N53" s="10">
        <f t="shared" si="18"/>
        <v>1</v>
      </c>
      <c r="O53" s="7">
        <f t="shared" si="19"/>
        <v>9758606.278015869</v>
      </c>
      <c r="P53" s="7">
        <f>SUM(O$50:O53)</f>
        <v>42232055.57933844</v>
      </c>
      <c r="Q53" s="7">
        <f>SUMPRODUCT(B37:K37,B$62:K$62)</f>
        <v>9724068.209757265</v>
      </c>
      <c r="R53" s="31">
        <f t="shared" si="20"/>
        <v>0</v>
      </c>
    </row>
    <row r="54" spans="1:18" ht="12.75">
      <c r="A54" s="1">
        <f t="shared" si="17"/>
        <v>4</v>
      </c>
      <c r="B54" s="26"/>
      <c r="C54" s="7"/>
      <c r="D54" s="7"/>
      <c r="E54" s="7"/>
      <c r="F54" s="7"/>
      <c r="G54" s="7"/>
      <c r="H54" s="35">
        <f>$M54*H$61</f>
        <v>50361.37252400525</v>
      </c>
      <c r="I54" s="35">
        <f>$M54*I$61</f>
        <v>10628.230121035993</v>
      </c>
      <c r="J54" s="35">
        <f>$M54*J$61</f>
        <v>10308.366886560252</v>
      </c>
      <c r="K54" s="35">
        <f>$M54*K$61</f>
        <v>14003.569169389646</v>
      </c>
      <c r="M54" s="7">
        <f>N15</f>
        <v>9872217.590649772</v>
      </c>
      <c r="N54" s="10">
        <f t="shared" si="18"/>
        <v>1</v>
      </c>
      <c r="O54" s="7">
        <f t="shared" si="19"/>
        <v>9872217.590649772</v>
      </c>
      <c r="P54" s="7">
        <f>SUM(O$50:O54)</f>
        <v>52104273.169988215</v>
      </c>
      <c r="Q54" s="7">
        <f>SUMPRODUCT(B38:K38,B$62:K$62)</f>
        <v>9786916.051948782</v>
      </c>
      <c r="R54" s="31">
        <f t="shared" si="20"/>
        <v>0</v>
      </c>
    </row>
    <row r="55" spans="1:18" ht="12.75">
      <c r="A55" s="1">
        <f t="shared" si="17"/>
        <v>5</v>
      </c>
      <c r="B55" s="26"/>
      <c r="C55" s="7"/>
      <c r="D55" s="7"/>
      <c r="E55" s="7"/>
      <c r="F55" s="7"/>
      <c r="G55" s="35">
        <f>$M55*G$61</f>
        <v>69291.17507285296</v>
      </c>
      <c r="H55" s="35">
        <f>$M55*H$61</f>
        <v>51483.81298459862</v>
      </c>
      <c r="I55" s="35">
        <f>$M55*I$61</f>
        <v>10865.109199473769</v>
      </c>
      <c r="J55" s="35">
        <f>$M55*J$61</f>
        <v>10538.11694094173</v>
      </c>
      <c r="K55" s="35">
        <f>$M55*K$61</f>
        <v>14315.676878943204</v>
      </c>
      <c r="M55" s="7">
        <f>N16</f>
        <v>10092246.86912595</v>
      </c>
      <c r="N55" s="10">
        <f t="shared" si="18"/>
        <v>1</v>
      </c>
      <c r="O55" s="7">
        <f t="shared" si="19"/>
        <v>10092246.86912595</v>
      </c>
      <c r="P55" s="7">
        <f>SUM(O$50:O55)</f>
        <v>62196520.03911416</v>
      </c>
      <c r="Q55" s="7">
        <f>SUMPRODUCT(B39:K39,B$62:K$62)</f>
        <v>9935752.978049139</v>
      </c>
      <c r="R55" s="31">
        <f t="shared" si="20"/>
        <v>0</v>
      </c>
    </row>
    <row r="56" spans="1:18" ht="12.75">
      <c r="A56" s="1">
        <f t="shared" si="17"/>
        <v>6</v>
      </c>
      <c r="B56" s="26"/>
      <c r="C56" s="7"/>
      <c r="D56" s="7"/>
      <c r="E56" s="7"/>
      <c r="F56" s="35">
        <f aca="true" t="shared" si="21" ref="F56:K56">$M56*F$61</f>
        <v>137753.77383886842</v>
      </c>
      <c r="G56" s="35">
        <f t="shared" si="21"/>
        <v>65692.79137211776</v>
      </c>
      <c r="H56" s="35">
        <f t="shared" si="21"/>
        <v>48810.18949213081</v>
      </c>
      <c r="I56" s="35">
        <f t="shared" si="21"/>
        <v>10300.869499266808</v>
      </c>
      <c r="J56" s="35">
        <f t="shared" si="21"/>
        <v>9990.858387498858</v>
      </c>
      <c r="K56" s="35">
        <f t="shared" si="21"/>
        <v>13572.24456895539</v>
      </c>
      <c r="M56" s="7">
        <f>N17</f>
        <v>9568142.946808623</v>
      </c>
      <c r="N56" s="10">
        <f t="shared" si="18"/>
        <v>1</v>
      </c>
      <c r="O56" s="7">
        <f t="shared" si="19"/>
        <v>9568142.946808623</v>
      </c>
      <c r="P56" s="7">
        <f>SUM(O$50:O56)</f>
        <v>71764662.98592278</v>
      </c>
      <c r="Q56" s="7">
        <f>SUMPRODUCT(B40:K40,B$62:K$62)</f>
        <v>9282022.219649784</v>
      </c>
      <c r="R56" s="31">
        <f t="shared" si="20"/>
        <v>0</v>
      </c>
    </row>
    <row r="57" spans="1:18" ht="12.75">
      <c r="A57" s="1">
        <f t="shared" si="17"/>
        <v>7</v>
      </c>
      <c r="B57" s="26"/>
      <c r="C57" s="7"/>
      <c r="D57" s="7"/>
      <c r="E57" s="35">
        <f aca="true" t="shared" si="22" ref="E57:K57">$M57*E$61</f>
        <v>188845.67510108653</v>
      </c>
      <c r="F57" s="35">
        <f t="shared" si="22"/>
        <v>125332.43822979479</v>
      </c>
      <c r="G57" s="35">
        <f t="shared" si="22"/>
        <v>59769.23526189168</v>
      </c>
      <c r="H57" s="35">
        <f t="shared" si="22"/>
        <v>44408.947131007444</v>
      </c>
      <c r="I57" s="35">
        <f t="shared" si="22"/>
        <v>9372.034277189134</v>
      </c>
      <c r="J57" s="35">
        <f t="shared" si="22"/>
        <v>9089.97704250564</v>
      </c>
      <c r="K57" s="35">
        <f t="shared" si="22"/>
        <v>12348.427608727374</v>
      </c>
      <c r="M57" s="7">
        <f>N18</f>
        <v>8705378.091909481</v>
      </c>
      <c r="N57" s="10">
        <f t="shared" si="18"/>
        <v>1</v>
      </c>
      <c r="O57" s="7">
        <f t="shared" si="19"/>
        <v>8705378.091909481</v>
      </c>
      <c r="P57" s="7">
        <f>SUM(O$50:O57)</f>
        <v>80470041.07783227</v>
      </c>
      <c r="Q57" s="7">
        <f>SUMPRODUCT(B41:K41,B$62:K$62)</f>
        <v>8256211.357257279</v>
      </c>
      <c r="R57" s="31">
        <f t="shared" si="20"/>
        <v>0</v>
      </c>
    </row>
    <row r="58" spans="1:18" ht="12.75">
      <c r="A58" s="1">
        <f t="shared" si="17"/>
        <v>8</v>
      </c>
      <c r="B58" s="26"/>
      <c r="C58" s="7"/>
      <c r="D58" s="35">
        <f aca="true" t="shared" si="23" ref="D58:K58">$M58*D$61</f>
        <v>594767.1860089152</v>
      </c>
      <c r="E58" s="35">
        <f t="shared" si="23"/>
        <v>188554.8368718064</v>
      </c>
      <c r="F58" s="35">
        <f t="shared" si="23"/>
        <v>125139.41572935044</v>
      </c>
      <c r="G58" s="35">
        <f t="shared" si="23"/>
        <v>59677.18561055764</v>
      </c>
      <c r="H58" s="35">
        <f t="shared" si="23"/>
        <v>44340.55361582176</v>
      </c>
      <c r="I58" s="35">
        <f t="shared" si="23"/>
        <v>9357.600555831887</v>
      </c>
      <c r="J58" s="35">
        <f t="shared" si="23"/>
        <v>9075.977713022325</v>
      </c>
      <c r="K58" s="35">
        <f t="shared" si="23"/>
        <v>12329.409991203469</v>
      </c>
      <c r="M58" s="7">
        <f>N19</f>
        <v>8691971.077170543</v>
      </c>
      <c r="N58" s="10">
        <f t="shared" si="18"/>
        <v>1</v>
      </c>
      <c r="O58" s="7">
        <f t="shared" si="19"/>
        <v>8691971.077170543</v>
      </c>
      <c r="P58" s="7">
        <f>SUM(O$50:O58)</f>
        <v>89162012.1550028</v>
      </c>
      <c r="Q58" s="7">
        <f>SUMPRODUCT(B42:K42,B$62:K$62)</f>
        <v>7648728.911074035</v>
      </c>
      <c r="R58" s="31">
        <f t="shared" si="20"/>
        <v>0</v>
      </c>
    </row>
    <row r="59" spans="1:18" ht="12.75">
      <c r="A59" s="3">
        <f t="shared" si="17"/>
        <v>9</v>
      </c>
      <c r="B59" s="12"/>
      <c r="C59" s="28">
        <f>$M59*C$61</f>
        <v>2795421.147356856</v>
      </c>
      <c r="D59" s="28">
        <f aca="true" t="shared" si="24" ref="D59:K59">$M59*D$61</f>
        <v>658706.3705827723</v>
      </c>
      <c r="E59" s="28">
        <f t="shared" si="24"/>
        <v>208825.02460348</v>
      </c>
      <c r="F59" s="28">
        <f t="shared" si="24"/>
        <v>138592.26314259635</v>
      </c>
      <c r="G59" s="28">
        <f t="shared" si="24"/>
        <v>66092.65484854042</v>
      </c>
      <c r="H59" s="28">
        <f t="shared" si="24"/>
        <v>49107.290766829516</v>
      </c>
      <c r="I59" s="28">
        <f t="shared" si="24"/>
        <v>10363.569552075056</v>
      </c>
      <c r="J59" s="28">
        <f t="shared" si="24"/>
        <v>10051.67144299291</v>
      </c>
      <c r="K59" s="28">
        <f t="shared" si="24"/>
        <v>13654.857056305174</v>
      </c>
      <c r="M59" s="6">
        <f>N20</f>
        <v>9626382.988397779</v>
      </c>
      <c r="N59" s="2">
        <f t="shared" si="18"/>
        <v>1</v>
      </c>
      <c r="O59" s="6">
        <f t="shared" si="19"/>
        <v>9626382.988397779</v>
      </c>
      <c r="P59" s="6">
        <f>SUM(O$50:O59)</f>
        <v>98788395.14340058</v>
      </c>
      <c r="Q59" s="6">
        <f>SUMPRODUCT(B43:K43,B$62:K$62)</f>
        <v>5675568.139045331</v>
      </c>
      <c r="R59" s="29">
        <f t="shared" si="20"/>
        <v>0</v>
      </c>
    </row>
    <row r="61" spans="1:11" ht="12.75">
      <c r="A61" s="30" t="s">
        <v>15</v>
      </c>
      <c r="B61" s="47">
        <f>B27</f>
        <v>0.5895847013240407</v>
      </c>
      <c r="C61" s="47">
        <f>C27-B27</f>
        <v>0.29039164042465837</v>
      </c>
      <c r="D61" s="47">
        <f>D27-C27</f>
        <v>0.06842719340968251</v>
      </c>
      <c r="E61" s="47">
        <f>E27-D27</f>
        <v>0.021692989449429434</v>
      </c>
      <c r="F61" s="47">
        <f>F27-E27</f>
        <v>0.01439712748907196</v>
      </c>
      <c r="G61" s="47">
        <f>G27-F27</f>
        <v>0.006865782810449028</v>
      </c>
      <c r="H61" s="47">
        <f>H27-G27</f>
        <v>0.005101323189199536</v>
      </c>
      <c r="I61" s="47">
        <f>I27-H27</f>
        <v>0.0010765798082795763</v>
      </c>
      <c r="J61" s="47">
        <f>J27-I27</f>
        <v>0.0010441794654448833</v>
      </c>
      <c r="K61" s="47">
        <f>K27-J27</f>
        <v>0.0014184826297439779</v>
      </c>
    </row>
    <row r="62" spans="1:11" ht="12.75">
      <c r="A62" s="1" t="s">
        <v>19</v>
      </c>
      <c r="B62" s="10">
        <f>B$61^(1-$B$46)</f>
        <v>1</v>
      </c>
      <c r="C62" s="10">
        <f aca="true" t="shared" si="25" ref="C62:K63">C$61^(1-$B$46)</f>
        <v>1</v>
      </c>
      <c r="D62" s="10">
        <f t="shared" si="25"/>
        <v>1</v>
      </c>
      <c r="E62" s="10">
        <f t="shared" si="25"/>
        <v>1</v>
      </c>
      <c r="F62" s="10">
        <f t="shared" si="25"/>
        <v>1</v>
      </c>
      <c r="G62" s="10">
        <f t="shared" si="25"/>
        <v>1</v>
      </c>
      <c r="H62" s="10">
        <f t="shared" si="25"/>
        <v>1</v>
      </c>
      <c r="I62" s="10">
        <f t="shared" si="25"/>
        <v>1</v>
      </c>
      <c r="J62" s="10">
        <f t="shared" si="25"/>
        <v>1</v>
      </c>
      <c r="K62" s="10">
        <f t="shared" si="25"/>
        <v>1</v>
      </c>
    </row>
    <row r="63" spans="1:11" ht="12.75">
      <c r="A63" s="1" t="s">
        <v>20</v>
      </c>
      <c r="B63" s="21">
        <f>B$61^(2-$B$46)</f>
        <v>0.5895847013240407</v>
      </c>
      <c r="C63" s="21">
        <f aca="true" t="shared" si="26" ref="C63:K63">C$61^(2-$B$46)</f>
        <v>0.29039164042465837</v>
      </c>
      <c r="D63" s="21">
        <f t="shared" si="26"/>
        <v>0.06842719340968251</v>
      </c>
      <c r="E63" s="21">
        <f t="shared" si="26"/>
        <v>0.021692989449429434</v>
      </c>
      <c r="F63" s="21">
        <f t="shared" si="26"/>
        <v>0.01439712748907196</v>
      </c>
      <c r="G63" s="21">
        <f t="shared" si="26"/>
        <v>0.006865782810449028</v>
      </c>
      <c r="H63" s="21">
        <f t="shared" si="26"/>
        <v>0.005101323189199536</v>
      </c>
      <c r="I63" s="21">
        <f t="shared" si="26"/>
        <v>0.0010765798082795763</v>
      </c>
      <c r="J63" s="21">
        <f t="shared" si="26"/>
        <v>0.0010441794654448833</v>
      </c>
      <c r="K63" s="21">
        <f t="shared" si="26"/>
        <v>0.0014184826297439779</v>
      </c>
    </row>
    <row r="64" spans="1:11" ht="12.75">
      <c r="A64" s="1" t="s">
        <v>21</v>
      </c>
      <c r="B64" s="39">
        <f>SUM($B63:B63)</f>
        <v>0.5895847013240407</v>
      </c>
      <c r="C64" s="39">
        <f>SUM($B63:C63)</f>
        <v>0.8799763417486991</v>
      </c>
      <c r="D64" s="39">
        <f>SUM($B63:D63)</f>
        <v>0.9484035351583816</v>
      </c>
      <c r="E64" s="39">
        <f>SUM($B63:E63)</f>
        <v>0.970096524607811</v>
      </c>
      <c r="F64" s="39">
        <f>SUM($B63:F63)</f>
        <v>0.984493652096883</v>
      </c>
      <c r="G64" s="39">
        <f>SUM($B63:G63)</f>
        <v>0.991359434907332</v>
      </c>
      <c r="H64" s="39">
        <f>SUM($B63:H63)</f>
        <v>0.9964607580965316</v>
      </c>
      <c r="I64" s="39">
        <f>SUM($B63:I63)</f>
        <v>0.9975373379048111</v>
      </c>
      <c r="J64" s="39">
        <f>SUM($B63:J63)</f>
        <v>0.998581517370256</v>
      </c>
      <c r="K64" s="39">
        <f>SUM($B63:K63)</f>
        <v>1</v>
      </c>
    </row>
    <row r="65" spans="1:11" ht="12.75">
      <c r="A65" s="48" t="s">
        <v>23</v>
      </c>
      <c r="B65" s="7">
        <f>SUMPRODUCT(B34:B43,$N50:$N59)</f>
        <v>58244126.44490316</v>
      </c>
      <c r="C65" s="7">
        <f>SUMPRODUCT(C34:C43,$N50:$N59)</f>
        <v>25891902.97325459</v>
      </c>
      <c r="D65" s="7">
        <f>SUMPRODUCT(D34:D43,$N50:$N59)</f>
        <v>5506339.06451792</v>
      </c>
      <c r="E65" s="7">
        <f>SUMPRODUCT(E34:E43,$N50:$N59)</f>
        <v>1556790.0769955087</v>
      </c>
      <c r="F65" s="7">
        <f>SUMPRODUCT(F34:F43,$N50:$N59)</f>
        <v>895451.2283797301</v>
      </c>
      <c r="G65" s="7">
        <f>SUMPRODUCT(G34:G43,$N50:$N59)</f>
        <v>357736.6230814513</v>
      </c>
      <c r="H65" s="7">
        <f>SUMPRODUCT(H34:H43,$N50:$N59)</f>
        <v>215439.36445444264</v>
      </c>
      <c r="I65" s="7">
        <f>SUMPRODUCT(I34:I43,$N50:$N59)</f>
        <v>34960.259822983295</v>
      </c>
      <c r="J65" s="7">
        <f>SUMPRODUCT(J34:J43,$N50:$N59)</f>
        <v>22775.059176078066</v>
      </c>
      <c r="K65" s="7">
        <f>SUMPRODUCT(K34:K43,$N50:$N59)</f>
        <v>15813.419999999925</v>
      </c>
    </row>
    <row r="66" spans="1:18" ht="12.75">
      <c r="A66" s="49" t="s">
        <v>22</v>
      </c>
      <c r="B66" s="29">
        <f>INDEX($P50:$P59,$A59+1-B49)*B61-B65</f>
        <v>0</v>
      </c>
      <c r="C66" s="29">
        <f aca="true" t="shared" si="27" ref="C66:K66">INDEX($P50:$P59,$A59+1-C49)*C61-C65</f>
        <v>0</v>
      </c>
      <c r="D66" s="29">
        <f t="shared" si="27"/>
        <v>0</v>
      </c>
      <c r="E66" s="29">
        <f t="shared" si="27"/>
        <v>-2.6775524020195007E-08</v>
      </c>
      <c r="F66" s="29">
        <f t="shared" si="27"/>
        <v>1.5366822481155396E-08</v>
      </c>
      <c r="G66" s="29">
        <f t="shared" si="27"/>
        <v>-5.704350769519806E-09</v>
      </c>
      <c r="H66" s="29">
        <f t="shared" si="27"/>
        <v>0</v>
      </c>
      <c r="I66" s="29">
        <f t="shared" si="27"/>
        <v>1.1103111319243908E-08</v>
      </c>
      <c r="J66" s="29">
        <f t="shared" si="27"/>
        <v>4.296452971175313E-09</v>
      </c>
      <c r="K66" s="29">
        <f t="shared" si="27"/>
        <v>-2.433807821944356E-09</v>
      </c>
      <c r="Q66" s="11" t="s">
        <v>26</v>
      </c>
      <c r="R66" s="42">
        <f>SUMPRODUCT(R50:R59,R50:R59)+SUMPRODUCT(B66:K66,B66:K66)</f>
        <v>1.1332695470403048E-15</v>
      </c>
    </row>
    <row r="67" spans="1:18" ht="12.75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Q67" s="11"/>
      <c r="R67" s="42"/>
    </row>
    <row r="68" spans="1:18" ht="12.75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Q68" s="11"/>
      <c r="R68" s="42"/>
    </row>
    <row r="70" ht="12.75">
      <c r="E70">
        <v>1</v>
      </c>
    </row>
    <row r="71" spans="1:2" ht="12.75">
      <c r="A71" s="37" t="s">
        <v>18</v>
      </c>
      <c r="B71" s="38">
        <f>INDEX(B95:D95,E70)</f>
        <v>1.2</v>
      </c>
    </row>
    <row r="72" ht="12.75">
      <c r="A72" s="36" t="s">
        <v>52</v>
      </c>
    </row>
    <row r="74" spans="1:18" ht="12.75">
      <c r="A74" s="8"/>
      <c r="B74" s="9">
        <v>0</v>
      </c>
      <c r="C74" s="9">
        <f aca="true" t="shared" si="28" ref="C74:K74">B74+1</f>
        <v>1</v>
      </c>
      <c r="D74" s="9">
        <f t="shared" si="28"/>
        <v>2</v>
      </c>
      <c r="E74" s="9">
        <f t="shared" si="28"/>
        <v>3</v>
      </c>
      <c r="F74" s="9">
        <f t="shared" si="28"/>
        <v>4</v>
      </c>
      <c r="G74" s="9">
        <f t="shared" si="28"/>
        <v>5</v>
      </c>
      <c r="H74" s="9">
        <f t="shared" si="28"/>
        <v>6</v>
      </c>
      <c r="I74" s="9">
        <f t="shared" si="28"/>
        <v>7</v>
      </c>
      <c r="J74" s="9">
        <f t="shared" si="28"/>
        <v>8</v>
      </c>
      <c r="K74" s="9">
        <f t="shared" si="28"/>
        <v>9</v>
      </c>
      <c r="M74" s="32" t="s">
        <v>14</v>
      </c>
      <c r="N74" s="32" t="s">
        <v>16</v>
      </c>
      <c r="O74" s="32" t="s">
        <v>17</v>
      </c>
      <c r="P74" s="32" t="s">
        <v>24</v>
      </c>
      <c r="Q74" s="46" t="s">
        <v>25</v>
      </c>
      <c r="R74" s="46" t="s">
        <v>22</v>
      </c>
    </row>
    <row r="75" spans="1:18" ht="12.75">
      <c r="A75" s="30">
        <v>0</v>
      </c>
      <c r="B75" s="25"/>
      <c r="C75" s="18"/>
      <c r="D75" s="18"/>
      <c r="E75" s="18"/>
      <c r="F75" s="18"/>
      <c r="G75" s="18"/>
      <c r="H75" s="18"/>
      <c r="I75" s="18"/>
      <c r="J75" s="18"/>
      <c r="K75" s="18"/>
      <c r="M75" s="44">
        <f>INDEX(B$96:D$105,A75+1,E$70)</f>
        <v>1</v>
      </c>
      <c r="N75" s="31">
        <f>$M75^(1-$B$71)</f>
        <v>1</v>
      </c>
      <c r="O75" s="31">
        <f>$M75^(2-$B$71)</f>
        <v>1</v>
      </c>
      <c r="P75" s="44">
        <f>SUM(O$75:O75)</f>
        <v>1</v>
      </c>
      <c r="Q75" s="7">
        <f>SUMPRODUCT(B34:K34,B$87:K$87)</f>
        <v>557762.6417451573</v>
      </c>
      <c r="R75" s="31">
        <f>INDEX(B$89:K$89,K$49+1-A75)*M75-Q75</f>
        <v>-2.5029294192790985E-08</v>
      </c>
    </row>
    <row r="76" spans="1:18" ht="12.75">
      <c r="A76" s="1">
        <f aca="true" t="shared" si="29" ref="A76:A84">A75+1</f>
        <v>1</v>
      </c>
      <c r="B76" s="26"/>
      <c r="C76" s="7"/>
      <c r="D76" s="7"/>
      <c r="E76" s="7"/>
      <c r="F76" s="7"/>
      <c r="G76" s="7"/>
      <c r="H76" s="7"/>
      <c r="I76" s="7"/>
      <c r="J76" s="7"/>
      <c r="K76" s="35">
        <f>$M76*K$86</f>
        <v>14682.165630166897</v>
      </c>
      <c r="M76" s="44">
        <f aca="true" t="shared" si="30" ref="M76:M84">INDEX(B$96:D$105,A76+1,E$70)</f>
        <v>0.9284623838592142</v>
      </c>
      <c r="N76" s="31">
        <f aca="true" t="shared" si="31" ref="N76:N84">$M76^(1-$B$71)</f>
        <v>1.0149558178792242</v>
      </c>
      <c r="O76" s="31">
        <f aca="true" t="shared" si="32" ref="O76:O84">$M76^(2-$B$71)</f>
        <v>0.9423482981799228</v>
      </c>
      <c r="P76" s="44">
        <f>SUM(O$75:O76)</f>
        <v>1.942348298179923</v>
      </c>
      <c r="Q76" s="7">
        <f aca="true" t="shared" si="33" ref="Q76:Q84">SUMPRODUCT(B35:K35,B$87:K$87)</f>
        <v>515738.46105903375</v>
      </c>
      <c r="R76" s="31">
        <f aca="true" t="shared" si="34" ref="R76:R84">INDEX(B$89:K$89,K$49+1-A76)*M76-Q76</f>
        <v>1.153675839304924E-07</v>
      </c>
    </row>
    <row r="77" spans="1:18" ht="12.75">
      <c r="A77" s="1">
        <f t="shared" si="29"/>
        <v>2</v>
      </c>
      <c r="B77" s="26"/>
      <c r="C77" s="7"/>
      <c r="D77" s="7"/>
      <c r="E77" s="7"/>
      <c r="F77" s="7"/>
      <c r="G77" s="7"/>
      <c r="H77" s="7"/>
      <c r="I77" s="7"/>
      <c r="J77" s="35">
        <f aca="true" t="shared" si="35" ref="J77:J84">$M77*J$86</f>
        <v>11206.573454139363</v>
      </c>
      <c r="K77" s="35">
        <f aca="true" t="shared" si="36" ref="K77:K84">$M77*K$86</f>
        <v>14998.840417573756</v>
      </c>
      <c r="M77" s="44">
        <f t="shared" si="30"/>
        <v>0.9484880827533725</v>
      </c>
      <c r="N77" s="31">
        <f t="shared" si="31"/>
        <v>1.0106333472407933</v>
      </c>
      <c r="O77" s="31">
        <f t="shared" si="32"/>
        <v>0.9585736858910435</v>
      </c>
      <c r="P77" s="44">
        <f>SUM(O$75:O77)</f>
        <v>2.9009219840709664</v>
      </c>
      <c r="Q77" s="7">
        <f t="shared" si="33"/>
        <v>525144.406137</v>
      </c>
      <c r="R77" s="31">
        <f t="shared" si="34"/>
        <v>-6.05359673500061E-09</v>
      </c>
    </row>
    <row r="78" spans="1:18" ht="12.75">
      <c r="A78" s="1">
        <f t="shared" si="29"/>
        <v>3</v>
      </c>
      <c r="B78" s="26"/>
      <c r="C78" s="7"/>
      <c r="D78" s="7"/>
      <c r="E78" s="7"/>
      <c r="F78" s="7"/>
      <c r="G78" s="7"/>
      <c r="H78" s="7"/>
      <c r="I78" s="35">
        <f aca="true" t="shared" si="37" ref="I78:I84">$M78*I$86</f>
        <v>10492.216544396953</v>
      </c>
      <c r="J78" s="35">
        <f t="shared" si="35"/>
        <v>10209.973780476954</v>
      </c>
      <c r="K78" s="35">
        <f t="shared" si="36"/>
        <v>13664.99474863315</v>
      </c>
      <c r="M78" s="44">
        <f t="shared" si="30"/>
        <v>0.8641391140330947</v>
      </c>
      <c r="N78" s="31">
        <f t="shared" si="31"/>
        <v>1.0296349297782141</v>
      </c>
      <c r="O78" s="31">
        <f t="shared" si="32"/>
        <v>0.8897478159960737</v>
      </c>
      <c r="P78" s="44">
        <f>SUM(O$75:O78)</f>
        <v>3.79066980006704</v>
      </c>
      <c r="Q78" s="7">
        <f t="shared" si="33"/>
        <v>476843.75963488524</v>
      </c>
      <c r="R78" s="31">
        <f t="shared" si="34"/>
        <v>-8.032657206058502E-09</v>
      </c>
    </row>
    <row r="79" spans="1:18" ht="12.75">
      <c r="A79" s="1">
        <f t="shared" si="29"/>
        <v>4</v>
      </c>
      <c r="B79" s="26"/>
      <c r="C79" s="7"/>
      <c r="D79" s="7"/>
      <c r="E79" s="7"/>
      <c r="F79" s="7"/>
      <c r="G79" s="7"/>
      <c r="H79" s="35">
        <f aca="true" t="shared" si="38" ref="H79:H84">$M79*H$86</f>
        <v>51100.15095784384</v>
      </c>
      <c r="I79" s="35">
        <f t="shared" si="37"/>
        <v>10784.56059075368</v>
      </c>
      <c r="J79" s="35">
        <f t="shared" si="35"/>
        <v>10494.453712391307</v>
      </c>
      <c r="K79" s="35">
        <f t="shared" si="36"/>
        <v>14045.74173773262</v>
      </c>
      <c r="M79" s="44">
        <f t="shared" si="30"/>
        <v>0.8882165741334066</v>
      </c>
      <c r="N79" s="31">
        <f t="shared" si="31"/>
        <v>1.02399120241343</v>
      </c>
      <c r="O79" s="31">
        <f t="shared" si="32"/>
        <v>0.9095259577504045</v>
      </c>
      <c r="P79" s="44">
        <f>SUM(O$75:O79)</f>
        <v>4.700195757817444</v>
      </c>
      <c r="Q79" s="7">
        <f t="shared" si="33"/>
        <v>484422.588616623</v>
      </c>
      <c r="R79" s="31">
        <f t="shared" si="34"/>
        <v>-1.130392774939537E-07</v>
      </c>
    </row>
    <row r="80" spans="1:18" ht="12.75">
      <c r="A80" s="1">
        <f t="shared" si="29"/>
        <v>5</v>
      </c>
      <c r="B80" s="26"/>
      <c r="C80" s="7"/>
      <c r="D80" s="7"/>
      <c r="E80" s="7"/>
      <c r="F80" s="7"/>
      <c r="G80" s="35">
        <f>$M80*G$86</f>
        <v>68619.54335641007</v>
      </c>
      <c r="H80" s="35">
        <f t="shared" si="38"/>
        <v>50958.861724854214</v>
      </c>
      <c r="I80" s="35">
        <f t="shared" si="37"/>
        <v>10754.74184725809</v>
      </c>
      <c r="J80" s="35">
        <f t="shared" si="35"/>
        <v>10465.437099174407</v>
      </c>
      <c r="K80" s="35">
        <f t="shared" si="36"/>
        <v>14006.905999683004</v>
      </c>
      <c r="M80" s="44">
        <f t="shared" si="30"/>
        <v>0.8857607019659933</v>
      </c>
      <c r="N80" s="31">
        <f t="shared" si="31"/>
        <v>1.0245584001003007</v>
      </c>
      <c r="O80" s="31">
        <f t="shared" si="32"/>
        <v>0.9075135676779975</v>
      </c>
      <c r="P80" s="44">
        <f>SUM(O$75:O80)</f>
        <v>5.607709325495442</v>
      </c>
      <c r="Q80" s="7">
        <f t="shared" si="33"/>
        <v>475861.78329679824</v>
      </c>
      <c r="R80" s="31">
        <f t="shared" si="34"/>
        <v>3.015156835317612E-08</v>
      </c>
    </row>
    <row r="81" spans="1:18" ht="12.75">
      <c r="A81" s="1">
        <f t="shared" si="29"/>
        <v>6</v>
      </c>
      <c r="B81" s="26"/>
      <c r="C81" s="7"/>
      <c r="D81" s="7"/>
      <c r="E81" s="7"/>
      <c r="F81" s="35">
        <f>$M81*F$86</f>
        <v>137312.2787920905</v>
      </c>
      <c r="G81" s="35">
        <f>$M81*G$86</f>
        <v>65542.29683312748</v>
      </c>
      <c r="H81" s="35">
        <f t="shared" si="38"/>
        <v>48673.609267565786</v>
      </c>
      <c r="I81" s="35">
        <f t="shared" si="37"/>
        <v>10272.444963025251</v>
      </c>
      <c r="J81" s="35">
        <f t="shared" si="35"/>
        <v>9996.114099445369</v>
      </c>
      <c r="K81" s="35">
        <f t="shared" si="36"/>
        <v>13378.765667043437</v>
      </c>
      <c r="M81" s="44">
        <f t="shared" si="30"/>
        <v>0.8460387232517386</v>
      </c>
      <c r="N81" s="31">
        <f t="shared" si="31"/>
        <v>1.0340033641921098</v>
      </c>
      <c r="O81" s="31">
        <f t="shared" si="32"/>
        <v>0.8748068860790951</v>
      </c>
      <c r="P81" s="44">
        <f>SUM(O$75:O81)</f>
        <v>6.482516211574537</v>
      </c>
      <c r="Q81" s="7">
        <f t="shared" si="33"/>
        <v>442058.0814170109</v>
      </c>
      <c r="R81" s="31">
        <f t="shared" si="34"/>
        <v>-9.89530235528946E-10</v>
      </c>
    </row>
    <row r="82" spans="1:18" ht="12.75">
      <c r="A82" s="1">
        <f t="shared" si="29"/>
        <v>7</v>
      </c>
      <c r="B82" s="26"/>
      <c r="C82" s="7"/>
      <c r="D82" s="7"/>
      <c r="E82" s="35">
        <f>$M82*E$86</f>
        <v>187759.3456646459</v>
      </c>
      <c r="F82" s="35">
        <f>$M82*F$86</f>
        <v>124418.00524104697</v>
      </c>
      <c r="G82" s="35">
        <f>$M82*G$86</f>
        <v>59387.564627352425</v>
      </c>
      <c r="H82" s="35">
        <f t="shared" si="38"/>
        <v>44102.926746428035</v>
      </c>
      <c r="I82" s="35">
        <f t="shared" si="37"/>
        <v>9307.813711133766</v>
      </c>
      <c r="J82" s="35">
        <f t="shared" si="35"/>
        <v>9057.431624873281</v>
      </c>
      <c r="K82" s="35">
        <f t="shared" si="36"/>
        <v>12122.43618359374</v>
      </c>
      <c r="M82" s="44">
        <f t="shared" si="30"/>
        <v>0.7665916786877098</v>
      </c>
      <c r="N82" s="31">
        <f t="shared" si="31"/>
        <v>1.0545985742562034</v>
      </c>
      <c r="O82" s="31">
        <f t="shared" si="32"/>
        <v>0.8084464913807284</v>
      </c>
      <c r="P82" s="44">
        <f>SUM(O$75:O82)</f>
        <v>7.290962702955265</v>
      </c>
      <c r="Q82" s="7">
        <f t="shared" si="33"/>
        <v>384850.54952286114</v>
      </c>
      <c r="R82" s="31">
        <f t="shared" si="34"/>
        <v>3.841705620288849E-09</v>
      </c>
    </row>
    <row r="83" spans="1:18" ht="12.75">
      <c r="A83" s="1">
        <f t="shared" si="29"/>
        <v>8</v>
      </c>
      <c r="B83" s="26"/>
      <c r="C83" s="7"/>
      <c r="D83" s="35">
        <f>$M83*D$86</f>
        <v>591876.7192810382</v>
      </c>
      <c r="E83" s="35">
        <f>$M83*E$86</f>
        <v>187891.61286913435</v>
      </c>
      <c r="F83" s="35">
        <f>$M83*F$86</f>
        <v>124505.65159325919</v>
      </c>
      <c r="G83" s="35">
        <f>$M83*G$86</f>
        <v>59429.40023945914</v>
      </c>
      <c r="H83" s="35">
        <f t="shared" si="38"/>
        <v>44133.99508451719</v>
      </c>
      <c r="I83" s="35">
        <f t="shared" si="37"/>
        <v>9314.370607117358</v>
      </c>
      <c r="J83" s="35">
        <f t="shared" si="35"/>
        <v>9063.81213901827</v>
      </c>
      <c r="K83" s="35">
        <f t="shared" si="36"/>
        <v>12130.975842378328</v>
      </c>
      <c r="M83" s="44">
        <f t="shared" si="30"/>
        <v>0.7671317047405553</v>
      </c>
      <c r="N83" s="31">
        <f t="shared" si="31"/>
        <v>1.0544500544822042</v>
      </c>
      <c r="O83" s="31">
        <f t="shared" si="32"/>
        <v>0.8089020678587047</v>
      </c>
      <c r="P83" s="44">
        <f>SUM(O$75:O83)</f>
        <v>8.09986477081397</v>
      </c>
      <c r="Q83" s="7">
        <f t="shared" si="33"/>
        <v>345788.48382066865</v>
      </c>
      <c r="R83" s="31">
        <f t="shared" si="34"/>
        <v>7.566995918750763E-10</v>
      </c>
    </row>
    <row r="84" spans="1:18" ht="12.75">
      <c r="A84" s="3">
        <f t="shared" si="29"/>
        <v>9</v>
      </c>
      <c r="B84" s="12"/>
      <c r="C84" s="28">
        <f>$M84*C$86</f>
        <v>2792148.4352182047</v>
      </c>
      <c r="D84" s="28">
        <f>$M84*D$86</f>
        <v>657299.349169409</v>
      </c>
      <c r="E84" s="28">
        <f>$M84*E$86</f>
        <v>208660.0652299539</v>
      </c>
      <c r="F84" s="28">
        <f>$M84*F$86</f>
        <v>138267.78633829646</v>
      </c>
      <c r="G84" s="28">
        <f>$M84*G$86</f>
        <v>65998.38247798482</v>
      </c>
      <c r="H84" s="28">
        <f t="shared" si="38"/>
        <v>49012.31168635426</v>
      </c>
      <c r="I84" s="28">
        <f t="shared" si="37"/>
        <v>10343.927271574055</v>
      </c>
      <c r="J84" s="28">
        <f t="shared" si="35"/>
        <v>10065.673519322288</v>
      </c>
      <c r="K84" s="28">
        <f t="shared" si="36"/>
        <v>13471.863761884153</v>
      </c>
      <c r="M84" s="50">
        <f t="shared" si="30"/>
        <v>0.8519260072700418</v>
      </c>
      <c r="N84" s="29">
        <f t="shared" si="31"/>
        <v>1.0325702893314532</v>
      </c>
      <c r="O84" s="29">
        <f t="shared" si="32"/>
        <v>0.8796734838158169</v>
      </c>
      <c r="P84" s="50">
        <f>SUM(O$75:O84)</f>
        <v>8.979538254629785</v>
      </c>
      <c r="Q84" s="6">
        <f t="shared" si="33"/>
        <v>245068.7010755964</v>
      </c>
      <c r="R84" s="29">
        <f t="shared" si="34"/>
        <v>0</v>
      </c>
    </row>
    <row r="86" spans="1:11" ht="12.75">
      <c r="A86" s="30" t="s">
        <v>15</v>
      </c>
      <c r="B86" s="18">
        <f>INDEX($B106:$D115,B74+1,$E70)</f>
        <v>6662043.523277836</v>
      </c>
      <c r="C86" s="18">
        <f aca="true" t="shared" si="39" ref="C86:K86">INDEX($B106:$D115,C74+1,$E70)</f>
        <v>3277454.15844918</v>
      </c>
      <c r="D86" s="18">
        <f t="shared" si="39"/>
        <v>771545.1149046323</v>
      </c>
      <c r="E86" s="18">
        <f t="shared" si="39"/>
        <v>244927.45079892047</v>
      </c>
      <c r="F86" s="18">
        <f t="shared" si="39"/>
        <v>162300.2293137749</v>
      </c>
      <c r="G86" s="18">
        <f t="shared" si="39"/>
        <v>77469.61815319343</v>
      </c>
      <c r="H86" s="18">
        <f t="shared" si="39"/>
        <v>57531.183774295125</v>
      </c>
      <c r="I86" s="18">
        <f t="shared" si="39"/>
        <v>12141.814175529988</v>
      </c>
      <c r="J86" s="18">
        <f t="shared" si="39"/>
        <v>11815.196899056155</v>
      </c>
      <c r="K86" s="18">
        <f t="shared" si="39"/>
        <v>15813.419999999916</v>
      </c>
    </row>
    <row r="87" spans="1:11" ht="12.75">
      <c r="A87" s="1" t="s">
        <v>19</v>
      </c>
      <c r="B87" s="45">
        <f>B$86^(1-$B$71)</f>
        <v>0.04317958926255066</v>
      </c>
      <c r="C87" s="45">
        <f aca="true" t="shared" si="40" ref="C87:K87">C$86^(1-$B$71)</f>
        <v>0.049761409670779154</v>
      </c>
      <c r="D87" s="45">
        <f t="shared" si="40"/>
        <v>0.06645501109266026</v>
      </c>
      <c r="E87" s="45">
        <f t="shared" si="40"/>
        <v>0.08359734938648883</v>
      </c>
      <c r="F87" s="45">
        <f t="shared" si="40"/>
        <v>0.09076871208841482</v>
      </c>
      <c r="G87" s="45">
        <f t="shared" si="40"/>
        <v>0.10523827406552363</v>
      </c>
      <c r="H87" s="45">
        <f t="shared" si="40"/>
        <v>0.11169129797619716</v>
      </c>
      <c r="I87" s="45">
        <f t="shared" si="40"/>
        <v>0.15245556563758872</v>
      </c>
      <c r="J87" s="45">
        <f t="shared" si="40"/>
        <v>0.15328928810334297</v>
      </c>
      <c r="K87" s="45">
        <f t="shared" si="40"/>
        <v>0.14460883882053702</v>
      </c>
    </row>
    <row r="88" spans="1:11" ht="12.75">
      <c r="A88" s="1" t="s">
        <v>20</v>
      </c>
      <c r="B88" s="60">
        <f>B$86^(2-$B$71)</f>
        <v>287664.3029843727</v>
      </c>
      <c r="C88" s="60">
        <f aca="true" t="shared" si="41" ref="C88:K88">C$86^(2-$B$71)</f>
        <v>163090.73905578832</v>
      </c>
      <c r="D88" s="60">
        <f t="shared" si="41"/>
        <v>51273.0391694752</v>
      </c>
      <c r="E88" s="60">
        <f t="shared" si="41"/>
        <v>20475.285678779426</v>
      </c>
      <c r="F88" s="60">
        <f t="shared" si="41"/>
        <v>14731.782786465752</v>
      </c>
      <c r="G88" s="60">
        <f t="shared" si="41"/>
        <v>8152.768906957238</v>
      </c>
      <c r="H88" s="60">
        <f t="shared" si="41"/>
        <v>6425.732589858156</v>
      </c>
      <c r="I88" s="60">
        <f t="shared" si="41"/>
        <v>1851.0871479969162</v>
      </c>
      <c r="J88" s="60">
        <f t="shared" si="41"/>
        <v>1811.1431214571423</v>
      </c>
      <c r="K88" s="60">
        <f t="shared" si="41"/>
        <v>2286.760303981444</v>
      </c>
    </row>
    <row r="89" spans="1:11" ht="12.75">
      <c r="A89" s="1" t="s">
        <v>21</v>
      </c>
      <c r="B89" s="7">
        <f>SUM($B88:B88)</f>
        <v>287664.3029843727</v>
      </c>
      <c r="C89" s="7">
        <f>SUM($B88:C88)</f>
        <v>450755.04204016103</v>
      </c>
      <c r="D89" s="7">
        <f>SUM($B88:D88)</f>
        <v>502028.08120963624</v>
      </c>
      <c r="E89" s="7">
        <f>SUM($B88:E88)</f>
        <v>522503.36688841565</v>
      </c>
      <c r="F89" s="7">
        <f>SUM($B88:F88)</f>
        <v>537235.1496748814</v>
      </c>
      <c r="G89" s="7">
        <f>SUM($B88:G88)</f>
        <v>545387.9185818386</v>
      </c>
      <c r="H89" s="7">
        <f>SUM($B88:H88)</f>
        <v>551813.6511716967</v>
      </c>
      <c r="I89" s="7">
        <f>SUM($B88:I88)</f>
        <v>553664.7383196936</v>
      </c>
      <c r="J89" s="7">
        <f>SUM($B88:J88)</f>
        <v>555475.8814411508</v>
      </c>
      <c r="K89" s="7">
        <f>SUM($B88:K88)</f>
        <v>557762.6417451323</v>
      </c>
    </row>
    <row r="90" spans="1:11" ht="12.75">
      <c r="A90" s="48" t="s">
        <v>23</v>
      </c>
      <c r="B90" s="7">
        <f>SUMPRODUCT(B34:B43,$N75:$N84)</f>
        <v>59822074.67128236</v>
      </c>
      <c r="C90" s="7">
        <f aca="true" t="shared" si="42" ref="C90:K90">SUMPRODUCT(C34:C43,$N75:$N84)</f>
        <v>26546935.475980286</v>
      </c>
      <c r="D90" s="7">
        <f t="shared" si="42"/>
        <v>5625306.65641691</v>
      </c>
      <c r="E90" s="7">
        <f t="shared" si="42"/>
        <v>1587746.1704635988</v>
      </c>
      <c r="F90" s="7">
        <f t="shared" si="42"/>
        <v>910132.5094528361</v>
      </c>
      <c r="G90" s="7">
        <f t="shared" si="42"/>
        <v>364122.3706033533</v>
      </c>
      <c r="H90" s="7">
        <f t="shared" si="42"/>
        <v>218081.7208953273</v>
      </c>
      <c r="I90" s="7">
        <f t="shared" si="42"/>
        <v>35222.45566829936</v>
      </c>
      <c r="J90" s="7">
        <f t="shared" si="42"/>
        <v>22949.227589542694</v>
      </c>
      <c r="K90" s="7">
        <f t="shared" si="42"/>
        <v>15813.419999999925</v>
      </c>
    </row>
    <row r="91" spans="1:18" ht="12.75">
      <c r="A91" s="49" t="s">
        <v>22</v>
      </c>
      <c r="B91" s="29">
        <f>INDEX($P75:$P84,$A84+1-B74)*B86-B90</f>
        <v>-4.3213367462158203E-07</v>
      </c>
      <c r="C91" s="29">
        <f>INDEX($P75:$P84,$A84+1-C74)*C86-C90</f>
        <v>-2.9802322387695312E-08</v>
      </c>
      <c r="D91" s="29">
        <f>INDEX($P75:$P84,$A84+1-D74)*D86-D90</f>
        <v>9.872019290924072E-08</v>
      </c>
      <c r="E91" s="29">
        <f>INDEX($P75:$P84,$A84+1-E74)*E86-E90</f>
        <v>2.7939677238464355E-08</v>
      </c>
      <c r="F91" s="29">
        <f>INDEX($P75:$P84,$A84+1-F74)*F86-F90</f>
        <v>6.810296326875687E-08</v>
      </c>
      <c r="G91" s="29">
        <f>INDEX($P75:$P84,$A84+1-G74)*G86-G90</f>
        <v>2.3690517991781235E-08</v>
      </c>
      <c r="H91" s="29">
        <f>INDEX($P75:$P84,$A84+1-H74)*H86-H90</f>
        <v>0</v>
      </c>
      <c r="I91" s="29">
        <f>INDEX($P75:$P84,$A84+1-I74)*I86-I90</f>
        <v>8.003553375601768E-11</v>
      </c>
      <c r="J91" s="29">
        <f>INDEX($P75:$P84,$A84+1-J74)*J86-J90</f>
        <v>-2.6921043172478676E-10</v>
      </c>
      <c r="K91" s="29">
        <f>INDEX($P75:$P84,$A84+1-K74)*K86-K90</f>
        <v>0</v>
      </c>
      <c r="Q91" s="11" t="s">
        <v>26</v>
      </c>
      <c r="R91" s="82">
        <f>SUMPRODUCT(R75:R84,R75:R84)+SUMPRODUCT(B91:K91,B91:K91)</f>
        <v>2.310939467444387E-13</v>
      </c>
    </row>
    <row r="93" ht="12.75">
      <c r="Q93" t="s">
        <v>32</v>
      </c>
    </row>
    <row r="94" ht="12.75">
      <c r="Q94" t="s">
        <v>33</v>
      </c>
    </row>
    <row r="95" spans="1:17" ht="12.75">
      <c r="A95" s="8" t="s">
        <v>31</v>
      </c>
      <c r="B95" s="9">
        <v>1.2</v>
      </c>
      <c r="C95" s="9">
        <v>1.5</v>
      </c>
      <c r="D95" s="9">
        <v>2</v>
      </c>
      <c r="Q95" t="s">
        <v>34</v>
      </c>
    </row>
    <row r="96" spans="1:17" ht="12.75">
      <c r="A96" s="1" t="s">
        <v>14</v>
      </c>
      <c r="B96" s="31">
        <v>1</v>
      </c>
      <c r="C96" s="31">
        <v>1</v>
      </c>
      <c r="D96" s="31">
        <v>1</v>
      </c>
      <c r="Q96" t="s">
        <v>35</v>
      </c>
    </row>
    <row r="97" spans="1:4" ht="12.75">
      <c r="A97" s="51"/>
      <c r="B97" s="56">
        <v>0.9284623838592142</v>
      </c>
      <c r="C97" s="56">
        <v>0.8668698361445748</v>
      </c>
      <c r="D97" s="56">
        <v>0.760109647617639</v>
      </c>
    </row>
    <row r="98" spans="1:4" ht="12.75">
      <c r="A98" s="51"/>
      <c r="B98" s="56">
        <v>0.9484880827533725</v>
      </c>
      <c r="C98" s="56">
        <v>0.9353701130053969</v>
      </c>
      <c r="D98" s="56">
        <v>0.9004486736200098</v>
      </c>
    </row>
    <row r="99" spans="1:4" ht="12.75">
      <c r="A99" s="51"/>
      <c r="B99" s="56">
        <v>0.8641391140330947</v>
      </c>
      <c r="C99" s="56">
        <v>0.8487086220058243</v>
      </c>
      <c r="D99" s="56">
        <v>0.8497011318285933</v>
      </c>
    </row>
    <row r="100" spans="1:4" ht="12.75">
      <c r="A100" s="51"/>
      <c r="B100" s="56">
        <v>0.8882165741334066</v>
      </c>
      <c r="C100" s="56">
        <v>0.9128335228089386</v>
      </c>
      <c r="D100" s="56">
        <v>1.051781148475306</v>
      </c>
    </row>
    <row r="101" spans="1:4" ht="12.75">
      <c r="A101" s="51"/>
      <c r="B101" s="56">
        <v>0.8857607019659933</v>
      </c>
      <c r="C101" s="56">
        <v>0.8524357305847642</v>
      </c>
      <c r="D101" s="56">
        <v>0.8088682365118889</v>
      </c>
    </row>
    <row r="102" spans="1:4" ht="12.75">
      <c r="A102" s="51"/>
      <c r="B102" s="56">
        <v>0.8460387232517386</v>
      </c>
      <c r="C102" s="56">
        <v>0.8264259666267918</v>
      </c>
      <c r="D102" s="56">
        <v>0.8105199278075791</v>
      </c>
    </row>
    <row r="103" spans="1:4" ht="12.75">
      <c r="A103" s="51"/>
      <c r="B103" s="56">
        <v>0.7665916786877098</v>
      </c>
      <c r="C103" s="56">
        <v>0.7427816867522804</v>
      </c>
      <c r="D103" s="56">
        <v>0.7089551458109313</v>
      </c>
    </row>
    <row r="104" spans="1:4" ht="12.75">
      <c r="A104" s="51"/>
      <c r="B104" s="56">
        <v>0.7671317047405553</v>
      </c>
      <c r="C104" s="56">
        <v>0.7470420439274158</v>
      </c>
      <c r="D104" s="56">
        <v>0.7220030994212596</v>
      </c>
    </row>
    <row r="105" spans="1:4" ht="12.75">
      <c r="A105" s="52"/>
      <c r="B105" s="57">
        <v>0.8519260072700418</v>
      </c>
      <c r="C105" s="57">
        <v>0.833062902172841</v>
      </c>
      <c r="D105" s="57">
        <v>0.8108479821355692</v>
      </c>
    </row>
    <row r="106" spans="1:4" ht="12.75">
      <c r="A106" s="53" t="s">
        <v>15</v>
      </c>
      <c r="B106" s="58">
        <v>6662043.523277836</v>
      </c>
      <c r="C106" s="58">
        <v>6812892.669019345</v>
      </c>
      <c r="D106" s="58">
        <v>6999546.4798436295</v>
      </c>
    </row>
    <row r="107" spans="1:4" ht="12.75">
      <c r="A107" s="54"/>
      <c r="B107" s="58">
        <v>3277454.15844918</v>
      </c>
      <c r="C107" s="58">
        <v>3345157.382464341</v>
      </c>
      <c r="D107" s="58">
        <v>3426586.720815986</v>
      </c>
    </row>
    <row r="108" spans="1:4" ht="12.75">
      <c r="A108" s="54"/>
      <c r="B108" s="58">
        <v>771545.1149046323</v>
      </c>
      <c r="C108" s="58">
        <v>785838.8013860103</v>
      </c>
      <c r="D108" s="58">
        <v>800950.9151695578</v>
      </c>
    </row>
    <row r="109" spans="1:4" ht="12.75">
      <c r="A109" s="54"/>
      <c r="B109" s="58">
        <v>244927.45079892047</v>
      </c>
      <c r="C109" s="58">
        <v>249562.0242518967</v>
      </c>
      <c r="D109" s="58">
        <v>252085.83583044252</v>
      </c>
    </row>
    <row r="110" spans="1:4" ht="12.75">
      <c r="A110" s="54"/>
      <c r="B110" s="58">
        <v>162300.2293137749</v>
      </c>
      <c r="C110" s="58">
        <v>164350.32723077008</v>
      </c>
      <c r="D110" s="58">
        <v>161787.2668889055</v>
      </c>
    </row>
    <row r="111" spans="1:4" ht="12.75">
      <c r="A111" s="54"/>
      <c r="B111" s="58">
        <v>77469.61815319343</v>
      </c>
      <c r="C111" s="58">
        <v>78563.35700741898</v>
      </c>
      <c r="D111" s="58">
        <v>77393.9326843517</v>
      </c>
    </row>
    <row r="112" spans="1:4" ht="12.75">
      <c r="A112" s="54"/>
      <c r="B112" s="58">
        <v>57531.183774295125</v>
      </c>
      <c r="C112" s="58">
        <v>58874.34027420906</v>
      </c>
      <c r="D112" s="58">
        <v>61417.97141008119</v>
      </c>
    </row>
    <row r="113" spans="1:4" ht="12.75">
      <c r="A113" s="54"/>
      <c r="B113" s="58">
        <v>12141.814175529988</v>
      </c>
      <c r="C113" s="58">
        <v>12453.138866788388</v>
      </c>
      <c r="D113" s="58">
        <v>13159.106462121263</v>
      </c>
    </row>
    <row r="114" spans="1:4" ht="12.75">
      <c r="A114" s="54"/>
      <c r="B114" s="58">
        <v>11815.196899056155</v>
      </c>
      <c r="C114" s="58">
        <v>12240.628448571404</v>
      </c>
      <c r="D114" s="58">
        <v>13225.19215055322</v>
      </c>
    </row>
    <row r="115" spans="1:4" ht="12.75">
      <c r="A115" s="55"/>
      <c r="B115" s="59">
        <v>15813.419999999916</v>
      </c>
      <c r="C115" s="59">
        <v>15813.419999999916</v>
      </c>
      <c r="D115" s="59">
        <v>15813.419999999916</v>
      </c>
    </row>
  </sheetData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X9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12" width="10.7109375" style="0" customWidth="1"/>
    <col min="13" max="13" width="10.7109375" style="10" customWidth="1"/>
    <col min="14" max="20" width="10.7109375" style="0" customWidth="1"/>
    <col min="23" max="23" width="11.57421875" style="0" bestFit="1" customWidth="1"/>
  </cols>
  <sheetData>
    <row r="1" spans="1:23" ht="12.75">
      <c r="A1" s="11" t="s">
        <v>1</v>
      </c>
      <c r="B1" s="11"/>
      <c r="V1" s="30" t="s">
        <v>62</v>
      </c>
      <c r="W1" s="34">
        <v>1.02</v>
      </c>
    </row>
    <row r="2" spans="1:24" s="13" customFormat="1" ht="12.75" customHeight="1">
      <c r="A2" s="13" t="s">
        <v>11</v>
      </c>
      <c r="M2" s="66"/>
      <c r="V2" s="3" t="s">
        <v>63</v>
      </c>
      <c r="W2" s="2">
        <v>0.03</v>
      </c>
      <c r="X2"/>
    </row>
    <row r="3" spans="1:13" s="13" customFormat="1" ht="12.75" customHeight="1">
      <c r="A3" s="13" t="s">
        <v>2</v>
      </c>
      <c r="M3" s="66"/>
    </row>
    <row r="4" spans="1:24" s="13" customFormat="1" ht="12.75" customHeight="1">
      <c r="A4" t="s">
        <v>12</v>
      </c>
      <c r="M4" s="66"/>
      <c r="V4" s="94" t="s">
        <v>64</v>
      </c>
      <c r="W4" s="32" t="s">
        <v>61</v>
      </c>
      <c r="X4" s="9" t="s">
        <v>60</v>
      </c>
    </row>
    <row r="5" spans="13:24" s="13" customFormat="1" ht="12.75">
      <c r="M5" s="66"/>
      <c r="V5" s="1">
        <f>W1</f>
        <v>1.02</v>
      </c>
      <c r="W5" s="92">
        <f>profile(B$11:L$19,B$24:L$32,N$11:N$19,H$75:H$83,H$84:H$94,V5)</f>
        <v>539235.600521585</v>
      </c>
      <c r="X5" s="92">
        <f>dispersion(B$11:L$19,B$24:L$32,N$11:N$19,H$75:H$83,H$84:H$94,V5)</f>
        <v>2558.775019940203</v>
      </c>
    </row>
    <row r="6" spans="1:24" ht="15.75">
      <c r="A6" s="4" t="s">
        <v>43</v>
      </c>
      <c r="V6" s="1">
        <f>V5+W$2</f>
        <v>1.05</v>
      </c>
      <c r="W6" s="92">
        <f>profile(B$11:L$19,B$24:L$32,N$11:N$19,H$75:H$83,H$84:H$94,V6)</f>
        <v>582349.607330461</v>
      </c>
      <c r="X6" s="92">
        <f>dispersion(B$11:L$19,B$24:L$32,N$11:N$19,H$75:H$83,H$84:H$94,V6)</f>
        <v>2291.067517886915</v>
      </c>
    </row>
    <row r="7" spans="1:24" ht="15.75">
      <c r="A7" s="4" t="s">
        <v>50</v>
      </c>
      <c r="V7" s="1">
        <f>V6+W$2</f>
        <v>1.08</v>
      </c>
      <c r="W7" s="92">
        <f>profile(B$11:L$19,B$24:L$32,N$11:N$19,H$75:H$83,H$84:H$94,V7)</f>
        <v>592218.4770617406</v>
      </c>
      <c r="X7" s="92">
        <f>dispersion(B$11:L$19,B$24:L$32,N$11:N$19,H$75:H$83,H$84:H$94,V7)</f>
        <v>2055.196114829165</v>
      </c>
    </row>
    <row r="8" spans="22:24" ht="12.75">
      <c r="V8" s="1">
        <f>V7+W$2</f>
        <v>1.11</v>
      </c>
      <c r="W8" s="92">
        <f>profile(B$11:L$19,B$24:L$32,N$11:N$19,H$75:H$83,H$84:H$94,V8)</f>
        <v>595988.1682979292</v>
      </c>
      <c r="X8" s="92">
        <f>dispersion(B$11:L$19,B$24:L$32,N$11:N$19,H$75:H$83,H$84:H$94,V8)</f>
        <v>1847.3091876644605</v>
      </c>
    </row>
    <row r="9" spans="1:24" ht="12.75">
      <c r="A9" s="11" t="s">
        <v>39</v>
      </c>
      <c r="P9" s="34" t="s">
        <v>8</v>
      </c>
      <c r="Q9" s="10"/>
      <c r="R9" s="83" t="s">
        <v>44</v>
      </c>
      <c r="V9" s="1">
        <f>V8+W$2</f>
        <v>1.1400000000000001</v>
      </c>
      <c r="W9" s="92">
        <f>profile(B$11:L$19,B$24:L$32,N$11:N$19,H$75:H$83,H$84:H$94,V9)</f>
        <v>597531.2820560595</v>
      </c>
      <c r="X9" s="92">
        <f>dispersion(B$11:L$19,B$24:L$32,N$11:N$19,H$75:H$83,H$84:H$94,V9)</f>
        <v>1664.0422349543014</v>
      </c>
    </row>
    <row r="10" spans="1:24" ht="12.75">
      <c r="A10" s="8"/>
      <c r="B10" s="9">
        <v>0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  <c r="I10" s="9">
        <v>7</v>
      </c>
      <c r="J10" s="9">
        <v>8</v>
      </c>
      <c r="K10" s="9">
        <v>9</v>
      </c>
      <c r="L10" s="9">
        <v>10</v>
      </c>
      <c r="N10" s="63" t="s">
        <v>37</v>
      </c>
      <c r="O10" s="17"/>
      <c r="P10" s="89" t="str">
        <f>"p="&amp;B51</f>
        <v>p=1</v>
      </c>
      <c r="Q10" s="10"/>
      <c r="R10" s="10" t="s">
        <v>46</v>
      </c>
      <c r="V10" s="1">
        <f>V9+W$2</f>
        <v>1.1700000000000002</v>
      </c>
      <c r="W10" s="92">
        <f>profile(B$11:L$19,B$24:L$32,N$11:N$19,H$75:H$83,H$84:H$94,V10)</f>
        <v>597982.656260001</v>
      </c>
      <c r="X10" s="92">
        <f>dispersion(B$11:L$19,B$24:L$32,N$11:N$19,H$75:H$83,H$84:H$94,V10)</f>
        <v>1502.456348953659</v>
      </c>
    </row>
    <row r="11" spans="1:24" ht="12.75">
      <c r="A11" s="1">
        <v>0</v>
      </c>
      <c r="B11" s="7">
        <v>17841110.48999996</v>
      </c>
      <c r="C11" s="7">
        <v>7442433.28000001</v>
      </c>
      <c r="D11" s="7">
        <v>895412.929999999</v>
      </c>
      <c r="E11" s="7">
        <v>407744.2</v>
      </c>
      <c r="F11" s="7">
        <v>207129.7</v>
      </c>
      <c r="G11" s="7">
        <v>61569.3</v>
      </c>
      <c r="H11" s="7">
        <v>15978.33</v>
      </c>
      <c r="I11" s="7">
        <v>24924.04</v>
      </c>
      <c r="J11" s="7">
        <v>1236.44</v>
      </c>
      <c r="K11" s="7">
        <v>15643</v>
      </c>
      <c r="L11" s="7">
        <v>321.27</v>
      </c>
      <c r="M11" s="7"/>
      <c r="N11" s="64">
        <v>112953</v>
      </c>
      <c r="O11" s="7"/>
      <c r="P11" s="34"/>
      <c r="Q11" s="10"/>
      <c r="R11" s="10" t="s">
        <v>47</v>
      </c>
      <c r="V11" s="1">
        <f>V10+W$2</f>
        <v>1.2000000000000002</v>
      </c>
      <c r="W11" s="92">
        <f>profile(B$11:L$19,B$24:L$32,N$11:N$19,H$75:H$83,H$84:H$94,V11)</f>
        <v>597792.5668228543</v>
      </c>
      <c r="X11" s="92">
        <f>dispersion(B$11:L$19,B$24:L$32,N$11:N$19,H$75:H$83,H$84:H$94,V11)</f>
        <v>1359.9848141871742</v>
      </c>
    </row>
    <row r="12" spans="1:24" ht="12.75">
      <c r="A12" s="1">
        <v>1</v>
      </c>
      <c r="B12" s="7">
        <v>19519116.52999999</v>
      </c>
      <c r="C12" s="7">
        <v>6656519.789999995</v>
      </c>
      <c r="D12" s="7">
        <v>941457.8</v>
      </c>
      <c r="E12" s="7">
        <v>155395.35</v>
      </c>
      <c r="F12" s="7">
        <v>69458.45</v>
      </c>
      <c r="G12" s="7">
        <v>37769.1</v>
      </c>
      <c r="H12" s="7">
        <v>53831.94</v>
      </c>
      <c r="I12" s="7">
        <v>111390.75</v>
      </c>
      <c r="J12" s="7">
        <v>42262.99</v>
      </c>
      <c r="K12" s="7">
        <v>25832.87</v>
      </c>
      <c r="L12" s="7"/>
      <c r="M12" s="7"/>
      <c r="N12" s="64">
        <v>110364</v>
      </c>
      <c r="O12" s="7"/>
      <c r="P12" s="7">
        <f>SUM(C56:L56)</f>
        <v>329.6243466552919</v>
      </c>
      <c r="Q12" s="7"/>
      <c r="R12" s="10" t="s">
        <v>45</v>
      </c>
      <c r="V12" s="1">
        <f>V11+W$2</f>
        <v>1.2300000000000002</v>
      </c>
      <c r="W12" s="92">
        <f>profile(B$11:L$19,B$24:L$32,N$11:N$19,H$75:H$83,H$84:H$94,V12)</f>
        <v>597173.0158738757</v>
      </c>
      <c r="X12" s="92">
        <f>dispersion(B$11:L$19,B$24:L$32,N$11:N$19,H$75:H$83,H$84:H$94,V12)</f>
        <v>1234.3868043496984</v>
      </c>
    </row>
    <row r="13" spans="1:24" ht="12.75">
      <c r="A13" s="1">
        <v>2</v>
      </c>
      <c r="B13" s="7">
        <v>19991172.019999966</v>
      </c>
      <c r="C13" s="7">
        <v>6327483.370000001</v>
      </c>
      <c r="D13" s="7">
        <v>1100176.65</v>
      </c>
      <c r="E13" s="7">
        <v>279649.2</v>
      </c>
      <c r="F13" s="7">
        <v>162653.9</v>
      </c>
      <c r="G13" s="7">
        <v>70000</v>
      </c>
      <c r="H13" s="7">
        <v>56877.5</v>
      </c>
      <c r="I13" s="7">
        <v>9880.5</v>
      </c>
      <c r="J13" s="7">
        <v>19656.05</v>
      </c>
      <c r="K13" s="7"/>
      <c r="L13" s="7"/>
      <c r="M13" s="7"/>
      <c r="N13" s="64">
        <v>105400</v>
      </c>
      <c r="O13" s="7"/>
      <c r="P13" s="7">
        <f aca="true" t="shared" si="0" ref="P13:P19">SUM(C57:L57)</f>
        <v>21662.738259437265</v>
      </c>
      <c r="Q13" s="7"/>
      <c r="R13" s="88" t="s">
        <v>58</v>
      </c>
      <c r="S13" s="88"/>
      <c r="V13" s="1">
        <f>V12+W$2</f>
        <v>1.2600000000000002</v>
      </c>
      <c r="W13" s="92">
        <f>profile(B$11:L$19,B$24:L$32,N$11:N$19,H$75:H$83,H$84:H$94,V13)</f>
        <v>596235.0444183107</v>
      </c>
      <c r="X13" s="92">
        <f>dispersion(B$11:L$19,B$24:L$32,N$11:N$19,H$75:H$83,H$84:H$94,V13)</f>
        <v>1123.7072972906685</v>
      </c>
    </row>
    <row r="14" spans="1:24" ht="12.75">
      <c r="A14" s="1">
        <v>3</v>
      </c>
      <c r="B14" s="7">
        <v>19305646.42999999</v>
      </c>
      <c r="C14" s="7">
        <v>5889791.459999992</v>
      </c>
      <c r="D14" s="7">
        <v>793020.39</v>
      </c>
      <c r="E14" s="7">
        <v>309042.12</v>
      </c>
      <c r="F14" s="7">
        <v>145920.89</v>
      </c>
      <c r="G14" s="7">
        <v>97465.38</v>
      </c>
      <c r="H14" s="7">
        <v>27523.21</v>
      </c>
      <c r="I14" s="7">
        <v>61919.95</v>
      </c>
      <c r="J14" s="7"/>
      <c r="K14" s="7"/>
      <c r="L14" s="7"/>
      <c r="M14" s="7"/>
      <c r="N14" s="64">
        <v>102067</v>
      </c>
      <c r="O14" s="7"/>
      <c r="P14" s="7">
        <f t="shared" si="0"/>
        <v>41007.06238782117</v>
      </c>
      <c r="Q14" s="7"/>
      <c r="R14" s="88" t="s">
        <v>59</v>
      </c>
      <c r="V14" s="1">
        <f>V13+W$2</f>
        <v>1.2900000000000003</v>
      </c>
      <c r="W14" s="92">
        <f>profile(B$11:L$19,B$24:L$32,N$11:N$19,H$75:H$83,H$84:H$94,V14)</f>
        <v>595040.8278722197</v>
      </c>
      <c r="X14" s="92">
        <f>dispersion(B$11:L$19,B$24:L$32,N$11:N$19,H$75:H$83,H$84:H$94,V14)</f>
        <v>1026.2424603559568</v>
      </c>
    </row>
    <row r="15" spans="1:24" ht="12.75">
      <c r="A15" s="1">
        <v>4</v>
      </c>
      <c r="B15" s="7">
        <v>18291477.829999987</v>
      </c>
      <c r="C15" s="7">
        <v>5793282.349999996</v>
      </c>
      <c r="D15" s="7">
        <v>689443.5</v>
      </c>
      <c r="E15" s="7">
        <v>288626.1</v>
      </c>
      <c r="F15" s="7">
        <v>342524.04</v>
      </c>
      <c r="G15" s="7">
        <v>110585.07</v>
      </c>
      <c r="H15" s="7">
        <v>115843.31</v>
      </c>
      <c r="I15" s="7"/>
      <c r="J15" s="7"/>
      <c r="K15" s="7"/>
      <c r="L15" s="7"/>
      <c r="M15" s="7"/>
      <c r="N15" s="64">
        <v>99124</v>
      </c>
      <c r="O15" s="7"/>
      <c r="P15" s="7">
        <f t="shared" si="0"/>
        <v>88546.3460373013</v>
      </c>
      <c r="Q15" s="7"/>
      <c r="R15" s="10"/>
      <c r="V15" s="1">
        <f>V14+W$2</f>
        <v>1.3200000000000003</v>
      </c>
      <c r="W15" s="92">
        <f>profile(B$11:L$19,B$24:L$32,N$11:N$19,H$75:H$83,H$84:H$94,V15)</f>
        <v>593626.4895643096</v>
      </c>
      <c r="X15" s="92">
        <f>dispersion(B$11:L$19,B$24:L$32,N$11:N$19,H$75:H$83,H$84:H$94,V15)</f>
        <v>940.5098793170822</v>
      </c>
    </row>
    <row r="16" spans="1:24" ht="12.75">
      <c r="A16" s="1">
        <v>5</v>
      </c>
      <c r="B16" s="7">
        <v>18832519.70000002</v>
      </c>
      <c r="C16" s="7">
        <v>5741213.52</v>
      </c>
      <c r="D16" s="7">
        <v>581797.55</v>
      </c>
      <c r="E16" s="7">
        <v>248563.08</v>
      </c>
      <c r="F16" s="7">
        <v>106875.35</v>
      </c>
      <c r="G16" s="7">
        <v>94212.02</v>
      </c>
      <c r="H16" s="7"/>
      <c r="I16" s="7"/>
      <c r="J16" s="7"/>
      <c r="K16" s="7"/>
      <c r="L16" s="7"/>
      <c r="M16" s="7"/>
      <c r="N16" s="64">
        <v>101460</v>
      </c>
      <c r="O16" s="7"/>
      <c r="P16" s="7">
        <f t="shared" si="0"/>
        <v>140149.55988255443</v>
      </c>
      <c r="Q16" s="7"/>
      <c r="R16" s="10"/>
      <c r="V16" s="1">
        <f>V15+W$2</f>
        <v>1.3500000000000003</v>
      </c>
      <c r="W16" s="92">
        <f>profile(B$11:L$19,B$24:L$32,N$11:N$19,H$75:H$83,H$84:H$94,V16)</f>
        <v>592013.2112596396</v>
      </c>
      <c r="X16" s="92">
        <f>dispersion(B$11:L$19,B$24:L$32,N$11:N$19,H$75:H$83,H$84:H$94,V16)</f>
        <v>865.2231177992414</v>
      </c>
    </row>
    <row r="17" spans="1:24" ht="12.75">
      <c r="A17" s="1">
        <v>6</v>
      </c>
      <c r="B17" s="7">
        <v>17152710.38999999</v>
      </c>
      <c r="C17" s="7">
        <v>5908286.109999998</v>
      </c>
      <c r="D17" s="7">
        <v>524806.08</v>
      </c>
      <c r="E17" s="7">
        <v>230455.58</v>
      </c>
      <c r="F17" s="7">
        <v>346904.2</v>
      </c>
      <c r="G17" s="7"/>
      <c r="H17" s="7"/>
      <c r="I17" s="7"/>
      <c r="J17" s="7"/>
      <c r="K17" s="7"/>
      <c r="L17" s="7"/>
      <c r="M17" s="7"/>
      <c r="N17" s="64">
        <v>94753</v>
      </c>
      <c r="O17" s="7"/>
      <c r="P17" s="7">
        <f t="shared" si="0"/>
        <v>204156.67366554317</v>
      </c>
      <c r="Q17" s="7"/>
      <c r="R17" s="10"/>
      <c r="V17" s="1">
        <f>V16+W$2</f>
        <v>1.3800000000000003</v>
      </c>
      <c r="W17" s="92">
        <f>profile(B$11:L$19,B$24:L$32,N$11:N$19,H$75:H$83,H$84:H$94,V17)</f>
        <v>590213.1176015866</v>
      </c>
      <c r="X17" s="92">
        <f>dispersion(B$11:L$19,B$24:L$32,N$11:N$19,H$75:H$83,H$84:H$94,V17)</f>
        <v>799.2702056425798</v>
      </c>
    </row>
    <row r="18" spans="1:24" ht="12.75">
      <c r="A18" s="1">
        <v>7</v>
      </c>
      <c r="B18" s="7">
        <v>16615058.660000024</v>
      </c>
      <c r="C18" s="7">
        <v>5111176.87</v>
      </c>
      <c r="D18" s="7">
        <v>553276.97</v>
      </c>
      <c r="E18" s="7">
        <v>252877.36</v>
      </c>
      <c r="F18" s="7"/>
      <c r="G18" s="7"/>
      <c r="H18" s="7"/>
      <c r="I18" s="7"/>
      <c r="J18" s="7"/>
      <c r="K18" s="7"/>
      <c r="L18" s="7"/>
      <c r="M18" s="7"/>
      <c r="N18" s="64">
        <v>92326</v>
      </c>
      <c r="O18" s="7"/>
      <c r="P18" s="7">
        <f t="shared" si="0"/>
        <v>362723.7317959204</v>
      </c>
      <c r="Q18" s="7"/>
      <c r="R18" s="10"/>
      <c r="V18" s="1">
        <f>V17+W$2</f>
        <v>1.4100000000000004</v>
      </c>
      <c r="W18" s="92">
        <f>profile(B$11:L$19,B$24:L$32,N$11:N$19,H$75:H$83,H$84:H$94,V18)</f>
        <v>588232.6205200112</v>
      </c>
      <c r="X18" s="92">
        <f>dispersion(B$11:L$19,B$24:L$32,N$11:N$19,H$75:H$83,H$84:H$94,V18)</f>
        <v>741.6957706717503</v>
      </c>
    </row>
    <row r="19" spans="1:24" ht="12.75">
      <c r="A19" s="3">
        <v>8</v>
      </c>
      <c r="B19" s="6">
        <v>16835452.940000005</v>
      </c>
      <c r="C19" s="6">
        <v>5001896.68</v>
      </c>
      <c r="D19" s="6">
        <v>489356.03</v>
      </c>
      <c r="E19" s="6"/>
      <c r="F19" s="6"/>
      <c r="G19" s="6"/>
      <c r="H19" s="6"/>
      <c r="I19" s="6"/>
      <c r="J19" s="6"/>
      <c r="K19" s="6"/>
      <c r="L19" s="6"/>
      <c r="M19" s="7"/>
      <c r="N19" s="65">
        <v>89545</v>
      </c>
      <c r="O19" s="7"/>
      <c r="P19" s="7">
        <f t="shared" si="0"/>
        <v>602783.7559918384</v>
      </c>
      <c r="Q19" s="7"/>
      <c r="R19" s="10"/>
      <c r="V19" s="1">
        <f>V18+W$2</f>
        <v>1.4400000000000004</v>
      </c>
      <c r="W19" s="92">
        <f>profile(B$11:L$19,B$24:L$32,N$11:N$19,H$75:H$83,H$84:H$94,V19)</f>
        <v>586074.4448104495</v>
      </c>
      <c r="X19" s="92">
        <f>dispersion(B$11:L$19,B$24:L$32,N$11:N$19,H$75:H$83,H$84:H$94,V19)</f>
        <v>691.6866583426716</v>
      </c>
    </row>
    <row r="20" spans="14:24" ht="12.75">
      <c r="N20" s="43"/>
      <c r="O20" s="43"/>
      <c r="P20" s="19">
        <f>SUM(P11:P19)</f>
        <v>1461359.4923670716</v>
      </c>
      <c r="Q20" s="67"/>
      <c r="R20" s="10"/>
      <c r="V20" s="1">
        <f>V19+W$2</f>
        <v>1.4700000000000004</v>
      </c>
      <c r="W20" s="92">
        <f>profile(B$11:L$19,B$24:L$32,N$11:N$19,H$75:H$83,H$84:H$94,V20)</f>
        <v>583738.9323463079</v>
      </c>
      <c r="X20" s="92">
        <f>dispersion(B$11:L$19,B$24:L$32,N$11:N$19,H$75:H$83,H$84:H$94,V20)</f>
        <v>648.5610419311475</v>
      </c>
    </row>
    <row r="21" spans="14:24" ht="12.75">
      <c r="N21" s="10"/>
      <c r="P21" s="10"/>
      <c r="Q21" s="10"/>
      <c r="R21" s="10"/>
      <c r="V21" s="1">
        <f>V20+W$2</f>
        <v>1.5000000000000004</v>
      </c>
      <c r="W21" s="92">
        <f>profile(B$11:L$19,B$24:L$32,N$11:N$19,H$75:H$83,H$84:H$94,V21)</f>
        <v>581224.9348946215</v>
      </c>
      <c r="X21" s="92">
        <f>dispersion(B$11:L$19,B$24:L$32,N$11:N$19,H$75:H$83,H$84:H$94,V21)</f>
        <v>611.7612350132916</v>
      </c>
    </row>
    <row r="22" spans="1:24" ht="12.75">
      <c r="A22" s="11" t="s">
        <v>38</v>
      </c>
      <c r="B22" s="7"/>
      <c r="C22" s="7"/>
      <c r="D22" s="7"/>
      <c r="E22" s="7"/>
      <c r="F22" s="10"/>
      <c r="G22" s="10"/>
      <c r="H22" s="10"/>
      <c r="I22" s="10"/>
      <c r="J22" s="10"/>
      <c r="K22" s="10"/>
      <c r="L22" s="10"/>
      <c r="P22" s="10"/>
      <c r="Q22" s="10"/>
      <c r="R22" s="10"/>
      <c r="V22" s="1">
        <f>V21+W$2</f>
        <v>1.5300000000000005</v>
      </c>
      <c r="W22" s="92">
        <f>profile(B$11:L$19,B$24:L$32,N$11:N$19,H$75:H$83,H$84:H$94,V22)</f>
        <v>578530.4637679835</v>
      </c>
      <c r="X22" s="92">
        <f>dispersion(B$11:L$19,B$24:L$32,N$11:N$19,H$75:H$83,H$84:H$94,V22)</f>
        <v>580.8507157018045</v>
      </c>
    </row>
    <row r="23" spans="1:24" ht="12.75">
      <c r="A23" s="8"/>
      <c r="B23" s="9">
        <v>0</v>
      </c>
      <c r="C23" s="9">
        <v>1</v>
      </c>
      <c r="D23" s="9">
        <v>2</v>
      </c>
      <c r="E23" s="9">
        <v>3</v>
      </c>
      <c r="F23" s="9">
        <v>4</v>
      </c>
      <c r="G23" s="9">
        <v>5</v>
      </c>
      <c r="H23" s="9">
        <v>6</v>
      </c>
      <c r="I23" s="9">
        <v>7</v>
      </c>
      <c r="J23" s="9">
        <v>8</v>
      </c>
      <c r="K23" s="9">
        <v>9</v>
      </c>
      <c r="L23" s="9">
        <v>10</v>
      </c>
      <c r="P23" s="10"/>
      <c r="Q23" s="10"/>
      <c r="R23" s="10"/>
      <c r="V23" s="1">
        <f>V22+W$2</f>
        <v>1.5600000000000005</v>
      </c>
      <c r="W23" s="92">
        <f>profile(B$11:L$19,B$24:L$32,N$11:N$19,H$75:H$83,H$84:H$94,V23)</f>
        <v>575653.1903447292</v>
      </c>
      <c r="X23" s="92">
        <f>dispersion(B$11:L$19,B$24:L$32,N$11:N$19,H$75:H$83,H$84:H$94,V23)</f>
        <v>555.5163236846696</v>
      </c>
    </row>
    <row r="24" spans="1:24" ht="12.75">
      <c r="A24" s="1">
        <v>0</v>
      </c>
      <c r="B24" s="7">
        <v>6229</v>
      </c>
      <c r="C24" s="7">
        <v>3500</v>
      </c>
      <c r="D24" s="7">
        <v>425</v>
      </c>
      <c r="E24" s="7">
        <v>134</v>
      </c>
      <c r="F24" s="7">
        <v>51</v>
      </c>
      <c r="G24" s="7">
        <v>24</v>
      </c>
      <c r="H24" s="7">
        <v>13</v>
      </c>
      <c r="I24" s="7">
        <v>12</v>
      </c>
      <c r="J24" s="7">
        <v>6</v>
      </c>
      <c r="K24" s="7">
        <v>4</v>
      </c>
      <c r="L24" s="7">
        <v>1</v>
      </c>
      <c r="P24" s="10"/>
      <c r="Q24" s="10"/>
      <c r="R24" s="10"/>
      <c r="V24" s="1">
        <f>V23+W$2</f>
        <v>1.5900000000000005</v>
      </c>
      <c r="W24" s="92">
        <f>profile(B$11:L$19,B$24:L$32,N$11:N$19,H$75:H$83,H$84:H$94,V24)</f>
        <v>572590.8504039297</v>
      </c>
      <c r="X24" s="92">
        <f>dispersion(B$11:L$19,B$24:L$32,N$11:N$19,H$75:H$83,H$84:H$94,V24)</f>
        <v>535.5773135751838</v>
      </c>
    </row>
    <row r="25" spans="1:24" ht="12.75">
      <c r="A25" s="1">
        <v>1</v>
      </c>
      <c r="B25" s="7">
        <v>6395</v>
      </c>
      <c r="C25" s="7">
        <v>3342</v>
      </c>
      <c r="D25" s="7">
        <v>402</v>
      </c>
      <c r="E25" s="7">
        <v>108</v>
      </c>
      <c r="F25" s="7">
        <v>31</v>
      </c>
      <c r="G25" s="7">
        <v>14</v>
      </c>
      <c r="H25" s="7">
        <v>12</v>
      </c>
      <c r="I25" s="7">
        <v>5</v>
      </c>
      <c r="J25" s="7">
        <v>6</v>
      </c>
      <c r="K25" s="7">
        <v>5</v>
      </c>
      <c r="L25" s="7"/>
      <c r="P25" s="10"/>
      <c r="Q25" s="10"/>
      <c r="R25" s="10"/>
      <c r="V25" s="1">
        <f>V24+W$2</f>
        <v>1.6200000000000006</v>
      </c>
      <c r="W25" s="92">
        <f>profile(B$11:L$19,B$24:L$32,N$11:N$19,H$75:H$83,H$84:H$94,V25)</f>
        <v>569341.581220817</v>
      </c>
      <c r="X25" s="92">
        <f>dispersion(B$11:L$19,B$24:L$32,N$11:N$19,H$75:H$83,H$84:H$94,V25)</f>
        <v>521.0041593684236</v>
      </c>
    </row>
    <row r="26" spans="1:24" ht="12.75">
      <c r="A26" s="1">
        <v>2</v>
      </c>
      <c r="B26" s="7">
        <v>6406</v>
      </c>
      <c r="C26" s="7">
        <v>2940</v>
      </c>
      <c r="D26" s="7">
        <v>401</v>
      </c>
      <c r="E26" s="7">
        <v>98</v>
      </c>
      <c r="F26" s="7">
        <v>42</v>
      </c>
      <c r="G26" s="7">
        <v>18</v>
      </c>
      <c r="H26" s="7">
        <v>5</v>
      </c>
      <c r="I26" s="7">
        <v>3</v>
      </c>
      <c r="J26" s="7">
        <v>3</v>
      </c>
      <c r="K26" s="10"/>
      <c r="L26" s="10"/>
      <c r="P26" s="10"/>
      <c r="Q26" s="10"/>
      <c r="R26" s="10"/>
      <c r="V26" s="1">
        <f>V25+W$2</f>
        <v>1.6500000000000006</v>
      </c>
      <c r="W26" s="92">
        <f>profile(B$11:L$19,B$24:L$32,N$11:N$19,H$75:H$83,H$84:H$94,V26)</f>
        <v>565904.2056516279</v>
      </c>
      <c r="X26" s="92">
        <f>dispersion(B$11:L$19,B$24:L$32,N$11:N$19,H$75:H$83,H$84:H$94,V26)</f>
        <v>511.9521277093996</v>
      </c>
    </row>
    <row r="27" spans="1:24" ht="12.75">
      <c r="A27" s="1">
        <v>3</v>
      </c>
      <c r="B27" s="7">
        <v>6148</v>
      </c>
      <c r="C27" s="7">
        <v>2898</v>
      </c>
      <c r="D27" s="7">
        <v>301</v>
      </c>
      <c r="E27" s="7">
        <v>92</v>
      </c>
      <c r="F27" s="7">
        <v>41</v>
      </c>
      <c r="G27" s="7">
        <v>23</v>
      </c>
      <c r="H27" s="7">
        <v>12</v>
      </c>
      <c r="I27" s="7">
        <v>10</v>
      </c>
      <c r="J27" s="10"/>
      <c r="K27" s="10"/>
      <c r="L27" s="10"/>
      <c r="P27" s="10"/>
      <c r="Q27" s="10"/>
      <c r="R27" s="10"/>
      <c r="V27" s="1">
        <f>V26+W$2</f>
        <v>1.6800000000000006</v>
      </c>
      <c r="W27" s="92">
        <f>profile(B$11:L$19,B$24:L$32,N$11:N$19,H$75:H$83,H$84:H$94,V27)</f>
        <v>562278.4680914823</v>
      </c>
      <c r="X27" s="92">
        <f>dispersion(B$11:L$19,B$24:L$32,N$11:N$19,H$75:H$83,H$84:H$94,V27)</f>
        <v>508.8185304309533</v>
      </c>
    </row>
    <row r="28" spans="1:24" ht="12.75">
      <c r="A28" s="1">
        <v>4</v>
      </c>
      <c r="B28" s="7">
        <v>5952</v>
      </c>
      <c r="C28" s="7">
        <v>2699</v>
      </c>
      <c r="D28" s="7">
        <v>304</v>
      </c>
      <c r="E28" s="7">
        <v>94</v>
      </c>
      <c r="F28" s="7">
        <v>49</v>
      </c>
      <c r="G28" s="7">
        <v>22</v>
      </c>
      <c r="H28" s="7">
        <v>7</v>
      </c>
      <c r="I28" s="10"/>
      <c r="J28" s="10"/>
      <c r="K28" s="10"/>
      <c r="L28" s="10"/>
      <c r="P28" s="10"/>
      <c r="Q28" s="10"/>
      <c r="R28" s="10"/>
      <c r="V28" s="1">
        <f>V27+W$2</f>
        <v>1.7100000000000006</v>
      </c>
      <c r="W28" s="92">
        <f>profile(B$11:L$19,B$24:L$32,N$11:N$19,H$75:H$83,H$84:H$94,V28)</f>
        <v>558465.2212106913</v>
      </c>
      <c r="X28" s="92">
        <f>dispersion(B$11:L$19,B$24:L$32,N$11:N$19,H$75:H$83,H$84:H$94,V28)</f>
        <v>512.3400636666</v>
      </c>
    </row>
    <row r="29" spans="1:24" ht="12.75">
      <c r="A29" s="1">
        <v>5</v>
      </c>
      <c r="B29" s="7">
        <v>5924</v>
      </c>
      <c r="C29" s="7">
        <v>2692</v>
      </c>
      <c r="D29" s="7">
        <v>300</v>
      </c>
      <c r="E29" s="7">
        <v>91</v>
      </c>
      <c r="F29" s="7">
        <v>32</v>
      </c>
      <c r="G29" s="7">
        <v>23</v>
      </c>
      <c r="H29" s="10"/>
      <c r="I29" s="10"/>
      <c r="J29" s="10"/>
      <c r="K29" s="10"/>
      <c r="L29" s="10"/>
      <c r="P29" s="10"/>
      <c r="Q29" s="10"/>
      <c r="R29" s="10"/>
      <c r="V29" s="1">
        <f>V28+W$2</f>
        <v>1.7400000000000007</v>
      </c>
      <c r="W29" s="92">
        <f>profile(B$11:L$19,B$24:L$32,N$11:N$19,H$75:H$83,H$84:H$94,V29)</f>
        <v>554466.5586959734</v>
      </c>
      <c r="X29" s="92">
        <f>dispersion(B$11:L$19,B$24:L$32,N$11:N$19,H$75:H$83,H$84:H$94,V29)</f>
        <v>523.7619035899738</v>
      </c>
    </row>
    <row r="30" spans="1:24" ht="12.75">
      <c r="A30" s="1">
        <v>6</v>
      </c>
      <c r="B30" s="7">
        <v>5545</v>
      </c>
      <c r="C30" s="7">
        <v>2754</v>
      </c>
      <c r="D30" s="7">
        <v>292</v>
      </c>
      <c r="E30" s="7">
        <v>77</v>
      </c>
      <c r="F30" s="7">
        <v>35</v>
      </c>
      <c r="G30" s="10"/>
      <c r="H30" s="10"/>
      <c r="I30" s="10"/>
      <c r="J30" s="10"/>
      <c r="K30" s="10"/>
      <c r="L30" s="10"/>
      <c r="P30" s="10"/>
      <c r="Q30" s="10"/>
      <c r="R30" s="10"/>
      <c r="V30" s="1">
        <f>V29+W$2</f>
        <v>1.7700000000000007</v>
      </c>
      <c r="W30" s="92">
        <f>profile(B$11:L$19,B$24:L$32,N$11:N$19,H$75:H$83,H$84:H$94,V30)</f>
        <v>550285.8871639698</v>
      </c>
      <c r="X30" s="92">
        <f>dispersion(B$11:L$19,B$24:L$32,N$11:N$19,H$75:H$83,H$84:H$94,V30)</f>
        <v>545.1433900512271</v>
      </c>
    </row>
    <row r="31" spans="1:24" ht="12.75">
      <c r="A31" s="1">
        <v>7</v>
      </c>
      <c r="B31" s="7">
        <v>5520</v>
      </c>
      <c r="C31" s="7">
        <v>2459</v>
      </c>
      <c r="D31" s="7">
        <v>267</v>
      </c>
      <c r="E31" s="7">
        <v>81</v>
      </c>
      <c r="F31" s="10"/>
      <c r="G31" s="10"/>
      <c r="H31" s="10"/>
      <c r="I31" s="10"/>
      <c r="J31" s="10"/>
      <c r="K31" s="10"/>
      <c r="L31" s="10"/>
      <c r="P31" s="10"/>
      <c r="Q31" s="10"/>
      <c r="R31" s="10"/>
      <c r="V31" s="1">
        <f>V30+W$2</f>
        <v>1.8000000000000007</v>
      </c>
      <c r="W31" s="92">
        <f>profile(B$11:L$19,B$24:L$32,N$11:N$19,H$75:H$83,H$84:H$94,V31)</f>
        <v>545927.9292593978</v>
      </c>
      <c r="X31" s="92">
        <f>dispersion(B$11:L$19,B$24:L$32,N$11:N$19,H$75:H$83,H$84:H$94,V31)</f>
        <v>579.9430398808871</v>
      </c>
    </row>
    <row r="32" spans="1:24" ht="12.75">
      <c r="A32" s="3">
        <v>8</v>
      </c>
      <c r="B32" s="6">
        <v>5390</v>
      </c>
      <c r="C32" s="6">
        <v>2224</v>
      </c>
      <c r="D32" s="6">
        <v>223</v>
      </c>
      <c r="E32" s="6"/>
      <c r="F32" s="2"/>
      <c r="G32" s="2"/>
      <c r="H32" s="2"/>
      <c r="I32" s="2"/>
      <c r="J32" s="2"/>
      <c r="K32" s="2"/>
      <c r="L32" s="2"/>
      <c r="P32" s="10"/>
      <c r="Q32" s="10"/>
      <c r="R32" s="10"/>
      <c r="V32" s="1">
        <f>V31+W$2</f>
        <v>1.8300000000000007</v>
      </c>
      <c r="W32" s="92">
        <f>profile(B$11:L$19,B$24:L$32,N$11:N$19,H$75:H$83,H$84:H$94,V32)</f>
        <v>541398.6483353605</v>
      </c>
      <c r="X32" s="92">
        <f>dispersion(B$11:L$19,B$24:L$32,N$11:N$19,H$75:H$83,H$84:H$94,V32)</f>
        <v>634.2272638706789</v>
      </c>
    </row>
    <row r="33" spans="16:24" ht="12.75">
      <c r="P33" s="10"/>
      <c r="Q33" s="10"/>
      <c r="R33" s="10"/>
      <c r="V33" s="1">
        <f>V32+W$2</f>
        <v>1.8600000000000008</v>
      </c>
      <c r="W33" s="92">
        <f>profile(B$11:L$19,B$24:L$32,N$11:N$19,H$75:H$83,H$84:H$94,V33)</f>
        <v>536705.0793985509</v>
      </c>
      <c r="X33" s="92">
        <f>dispersion(B$11:L$19,B$24:L$32,N$11:N$19,H$75:H$83,H$84:H$94,V33)</f>
        <v>719.4376367098936</v>
      </c>
    </row>
    <row r="34" spans="16:24" ht="12.75">
      <c r="P34" s="10"/>
      <c r="Q34" s="10"/>
      <c r="R34" s="10"/>
      <c r="V34" s="1">
        <f>V33+W$2</f>
        <v>1.8900000000000008</v>
      </c>
      <c r="W34" s="92">
        <f>profile(B$11:L$19,B$24:L$32,N$11:N$19,H$75:H$83,H$84:H$94,V34)</f>
        <v>531855.0290501559</v>
      </c>
      <c r="X34" s="92">
        <f>dispersion(B$11:L$19,B$24:L$32,N$11:N$19,H$75:H$83,H$84:H$94,V34)</f>
        <v>859.6913720460868</v>
      </c>
    </row>
    <row r="35" spans="1:24" ht="12.75">
      <c r="A35" s="11" t="s">
        <v>40</v>
      </c>
      <c r="P35" s="10"/>
      <c r="Q35" s="10"/>
      <c r="R35" s="10"/>
      <c r="V35" s="1">
        <f>V34+W$2</f>
        <v>1.9200000000000008</v>
      </c>
      <c r="W35" s="92">
        <f>profile(B$11:L$19,B$24:L$32,N$11:N$19,H$75:H$83,H$84:H$94,V35)</f>
        <v>526856.5171314416</v>
      </c>
      <c r="X35" s="92">
        <f>dispersion(B$11:L$19,B$24:L$32,N$11:N$19,H$75:H$83,H$84:H$94,V35)</f>
        <v>1115.5137682087034</v>
      </c>
    </row>
    <row r="36" spans="1:24" ht="12.75">
      <c r="A36" s="8"/>
      <c r="B36" s="9">
        <v>0</v>
      </c>
      <c r="C36" s="9">
        <v>1</v>
      </c>
      <c r="D36" s="9">
        <v>2</v>
      </c>
      <c r="E36" s="9">
        <v>3</v>
      </c>
      <c r="F36" s="9">
        <v>4</v>
      </c>
      <c r="G36" s="9">
        <v>5</v>
      </c>
      <c r="H36" s="9">
        <v>6</v>
      </c>
      <c r="I36" s="9">
        <v>7</v>
      </c>
      <c r="J36" s="9">
        <v>8</v>
      </c>
      <c r="K36" s="9">
        <v>9</v>
      </c>
      <c r="L36" s="9">
        <v>10</v>
      </c>
      <c r="P36" s="10"/>
      <c r="Q36" s="10"/>
      <c r="R36" s="10"/>
      <c r="V36" s="1">
        <f>V35+W$2</f>
        <v>1.9500000000000008</v>
      </c>
      <c r="W36" s="92">
        <f>profile(B$11:L$19,B$24:L$32,N$11:N$19,H$75:H$83,H$84:H$94,V36)</f>
        <v>521716.35970668524</v>
      </c>
      <c r="X36" s="92">
        <f>dispersion(B$11:L$19,B$24:L$32,N$11:N$19,H$75:H$83,H$84:H$94,V36)</f>
        <v>1693.0156827987253</v>
      </c>
    </row>
    <row r="37" spans="1:24" ht="12.75">
      <c r="A37" s="1">
        <v>0</v>
      </c>
      <c r="B37" s="68">
        <f>B11/$N11</f>
        <v>157.95163023558436</v>
      </c>
      <c r="C37" s="69">
        <f>C11/$N11</f>
        <v>65.88964684426274</v>
      </c>
      <c r="D37" s="69">
        <f>D11/$N11</f>
        <v>7.927305427921339</v>
      </c>
      <c r="E37" s="69">
        <f>E11/$N11</f>
        <v>3.6098571972413307</v>
      </c>
      <c r="F37" s="69">
        <f>F11/$N11</f>
        <v>1.833768912733615</v>
      </c>
      <c r="G37" s="69">
        <f>G11/$N11</f>
        <v>0.5450877798730446</v>
      </c>
      <c r="H37" s="69">
        <f>H11/$N11</f>
        <v>0.14145998778252902</v>
      </c>
      <c r="I37" s="69">
        <f>I11/$N11</f>
        <v>0.22065850397953132</v>
      </c>
      <c r="J37" s="69">
        <f>J11/$N11</f>
        <v>0.010946499871628023</v>
      </c>
      <c r="K37" s="69">
        <f>K11/$N11</f>
        <v>0.1384912308659354</v>
      </c>
      <c r="L37" s="69">
        <f>L11/$N11</f>
        <v>0.0028442803643993517</v>
      </c>
      <c r="P37" s="10"/>
      <c r="Q37" s="10"/>
      <c r="R37" s="10"/>
      <c r="V37" s="3">
        <f>V36+W$2</f>
        <v>1.9800000000000009</v>
      </c>
      <c r="W37" s="93">
        <f>profile(B$11:L$19,B$24:L$32,N$11:N$19,H$75:H$83,H$84:H$94,V37)</f>
        <v>516432.67174463585</v>
      </c>
      <c r="X37" s="93">
        <f>dispersion(B$11:L$19,B$24:L$32,N$11:N$19,H$75:H$83,H$84:H$94,V37)</f>
        <v>4035.6862686591267</v>
      </c>
    </row>
    <row r="38" spans="1:18" ht="12.75">
      <c r="A38" s="1">
        <v>1</v>
      </c>
      <c r="B38" s="70">
        <f>B12/$N12</f>
        <v>176.8612639085208</v>
      </c>
      <c r="C38" s="44">
        <f aca="true" t="shared" si="1" ref="C38:K45">C12/$N12</f>
        <v>60.31423099923884</v>
      </c>
      <c r="D38" s="44">
        <f t="shared" si="1"/>
        <v>8.530479141749122</v>
      </c>
      <c r="E38" s="44">
        <f t="shared" si="1"/>
        <v>1.408025714907035</v>
      </c>
      <c r="F38" s="44">
        <f t="shared" si="1"/>
        <v>0.6293578521981805</v>
      </c>
      <c r="G38" s="44">
        <f t="shared" si="1"/>
        <v>0.34222300750244644</v>
      </c>
      <c r="H38" s="44">
        <f t="shared" si="1"/>
        <v>0.4877672066978363</v>
      </c>
      <c r="I38" s="44">
        <f t="shared" si="1"/>
        <v>1.0093033054256824</v>
      </c>
      <c r="J38" s="44">
        <f t="shared" si="1"/>
        <v>0.3829418107353847</v>
      </c>
      <c r="K38" s="44">
        <f t="shared" si="1"/>
        <v>0.2340697147620601</v>
      </c>
      <c r="L38" s="44"/>
      <c r="P38" s="10"/>
      <c r="Q38" s="10"/>
      <c r="R38" s="10"/>
    </row>
    <row r="39" spans="1:18" ht="12.75">
      <c r="A39" s="1">
        <v>2</v>
      </c>
      <c r="B39" s="70">
        <f aca="true" t="shared" si="2" ref="B39:B45">B13/$N13</f>
        <v>189.66956375711544</v>
      </c>
      <c r="C39" s="44">
        <f t="shared" si="1"/>
        <v>60.033049051233405</v>
      </c>
      <c r="D39" s="44">
        <f t="shared" si="1"/>
        <v>10.43810863377609</v>
      </c>
      <c r="E39" s="44">
        <f t="shared" si="1"/>
        <v>2.653218216318786</v>
      </c>
      <c r="F39" s="44">
        <f t="shared" si="1"/>
        <v>1.543205882352941</v>
      </c>
      <c r="G39" s="44">
        <f t="shared" si="1"/>
        <v>0.6641366223908919</v>
      </c>
      <c r="H39" s="44">
        <f t="shared" si="1"/>
        <v>0.539634724857685</v>
      </c>
      <c r="I39" s="44">
        <f t="shared" si="1"/>
        <v>0.09374288425047439</v>
      </c>
      <c r="J39" s="44">
        <f t="shared" si="1"/>
        <v>0.18649003795066413</v>
      </c>
      <c r="K39" s="44"/>
      <c r="L39" s="44"/>
      <c r="P39" s="10"/>
      <c r="Q39" s="10"/>
      <c r="R39" s="10"/>
    </row>
    <row r="40" spans="1:18" ht="12.75">
      <c r="A40" s="1">
        <v>3</v>
      </c>
      <c r="B40" s="70">
        <f t="shared" si="2"/>
        <v>189.14679994513398</v>
      </c>
      <c r="C40" s="44">
        <f t="shared" si="1"/>
        <v>57.705149166723736</v>
      </c>
      <c r="D40" s="44">
        <f t="shared" si="1"/>
        <v>7.769606141064203</v>
      </c>
      <c r="E40" s="44">
        <f t="shared" si="1"/>
        <v>3.027835833325169</v>
      </c>
      <c r="F40" s="44">
        <f t="shared" si="1"/>
        <v>1.4296578717900987</v>
      </c>
      <c r="G40" s="44">
        <f t="shared" si="1"/>
        <v>0.9549156926332704</v>
      </c>
      <c r="H40" s="44">
        <f t="shared" si="1"/>
        <v>0.26965826368953727</v>
      </c>
      <c r="I40" s="44">
        <f t="shared" si="1"/>
        <v>0.6066598410847777</v>
      </c>
      <c r="J40" s="44"/>
      <c r="K40" s="44"/>
      <c r="L40" s="44"/>
      <c r="P40" s="10"/>
      <c r="Q40" s="10"/>
      <c r="R40" s="10"/>
    </row>
    <row r="41" spans="1:18" ht="12.75">
      <c r="A41" s="1">
        <v>4</v>
      </c>
      <c r="B41" s="70">
        <f t="shared" si="2"/>
        <v>184.53127224486488</v>
      </c>
      <c r="C41" s="44">
        <f t="shared" si="1"/>
        <v>58.44479994754041</v>
      </c>
      <c r="D41" s="44">
        <f t="shared" si="1"/>
        <v>6.955363988539607</v>
      </c>
      <c r="E41" s="44">
        <f t="shared" si="1"/>
        <v>2.9117680884548642</v>
      </c>
      <c r="F41" s="44">
        <f t="shared" si="1"/>
        <v>3.4555106734998584</v>
      </c>
      <c r="G41" s="44">
        <f t="shared" si="1"/>
        <v>1.1156235624066826</v>
      </c>
      <c r="H41" s="44">
        <f t="shared" si="1"/>
        <v>1.1686706549372503</v>
      </c>
      <c r="I41" s="44"/>
      <c r="J41" s="44"/>
      <c r="K41" s="44"/>
      <c r="L41" s="44"/>
      <c r="P41" s="10"/>
      <c r="Q41" s="10"/>
      <c r="R41" s="10"/>
    </row>
    <row r="42" spans="1:18" ht="12.75">
      <c r="A42" s="1">
        <v>5</v>
      </c>
      <c r="B42" s="70">
        <f t="shared" si="2"/>
        <v>185.6152148630004</v>
      </c>
      <c r="C42" s="44">
        <f t="shared" si="1"/>
        <v>56.585979893554104</v>
      </c>
      <c r="D42" s="44">
        <f t="shared" si="1"/>
        <v>5.7342553715750055</v>
      </c>
      <c r="E42" s="44">
        <f t="shared" si="1"/>
        <v>2.4498628030751033</v>
      </c>
      <c r="F42" s="44">
        <f t="shared" si="1"/>
        <v>1.0533742361521783</v>
      </c>
      <c r="G42" s="44">
        <f t="shared" si="1"/>
        <v>0.9285631776069387</v>
      </c>
      <c r="H42" s="44"/>
      <c r="I42" s="44"/>
      <c r="J42" s="44"/>
      <c r="K42" s="44"/>
      <c r="L42" s="44"/>
      <c r="P42" s="10"/>
      <c r="Q42" s="10"/>
      <c r="R42" s="10"/>
    </row>
    <row r="43" spans="1:18" ht="12.75">
      <c r="A43" s="1">
        <v>6</v>
      </c>
      <c r="B43" s="70">
        <f t="shared" si="2"/>
        <v>181.02551254313838</v>
      </c>
      <c r="C43" s="44">
        <f t="shared" si="1"/>
        <v>62.35460734752459</v>
      </c>
      <c r="D43" s="44">
        <f t="shared" si="1"/>
        <v>5.538675081527761</v>
      </c>
      <c r="E43" s="44">
        <f t="shared" si="1"/>
        <v>2.43217185735544</v>
      </c>
      <c r="F43" s="44">
        <f t="shared" si="1"/>
        <v>3.6611421274260447</v>
      </c>
      <c r="G43" s="44"/>
      <c r="H43" s="44"/>
      <c r="I43" s="44"/>
      <c r="J43" s="44"/>
      <c r="K43" s="44"/>
      <c r="L43" s="44"/>
      <c r="P43" s="10"/>
      <c r="Q43" s="10"/>
      <c r="R43" s="10"/>
    </row>
    <row r="44" spans="1:18" ht="12.75">
      <c r="A44" s="1">
        <v>7</v>
      </c>
      <c r="B44" s="70">
        <f t="shared" si="2"/>
        <v>179.9607765959754</v>
      </c>
      <c r="C44" s="44">
        <f t="shared" si="1"/>
        <v>55.36010300457076</v>
      </c>
      <c r="D44" s="44">
        <f t="shared" si="1"/>
        <v>5.992645300348764</v>
      </c>
      <c r="E44" s="44">
        <f t="shared" si="1"/>
        <v>2.738961505967983</v>
      </c>
      <c r="F44" s="44"/>
      <c r="G44" s="44"/>
      <c r="H44" s="44"/>
      <c r="I44" s="44"/>
      <c r="J44" s="44"/>
      <c r="K44" s="44"/>
      <c r="L44" s="44"/>
      <c r="P44" s="10"/>
      <c r="Q44" s="10"/>
      <c r="R44" s="10"/>
    </row>
    <row r="45" spans="1:18" ht="12.75">
      <c r="A45" s="3">
        <v>8</v>
      </c>
      <c r="B45" s="71">
        <f t="shared" si="2"/>
        <v>188.01108872633876</v>
      </c>
      <c r="C45" s="50">
        <f t="shared" si="1"/>
        <v>55.859028198112675</v>
      </c>
      <c r="D45" s="50">
        <f t="shared" si="1"/>
        <v>5.464917415824446</v>
      </c>
      <c r="E45" s="50"/>
      <c r="F45" s="50"/>
      <c r="G45" s="50"/>
      <c r="H45" s="50"/>
      <c r="I45" s="50"/>
      <c r="J45" s="50"/>
      <c r="K45" s="50"/>
      <c r="L45" s="50"/>
      <c r="P45" s="10"/>
      <c r="Q45" s="10"/>
      <c r="R45" s="10"/>
    </row>
    <row r="46" spans="1:18" ht="12.75">
      <c r="A46" s="1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P46" s="10"/>
      <c r="Q46" s="10"/>
      <c r="R46" s="10"/>
    </row>
    <row r="47" spans="1:18" ht="12.75">
      <c r="A47" s="1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P47" s="10"/>
      <c r="Q47" s="10"/>
      <c r="R47" s="10"/>
    </row>
    <row r="48" spans="1:18" ht="12.75">
      <c r="A48" s="1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P48" s="10"/>
      <c r="Q48" s="10"/>
      <c r="R48" s="10"/>
    </row>
    <row r="49" ht="12.75"/>
    <row r="50" ht="12.75">
      <c r="E50">
        <v>1</v>
      </c>
    </row>
    <row r="51" spans="1:2" ht="12.75">
      <c r="A51" s="90" t="s">
        <v>18</v>
      </c>
      <c r="B51" s="91">
        <f>INDEX(B74:G74,E50)</f>
        <v>1</v>
      </c>
    </row>
    <row r="52" ht="12.75">
      <c r="A52" s="36" t="s">
        <v>52</v>
      </c>
    </row>
    <row r="53" ht="12.75"/>
    <row r="54" spans="1:19" ht="12.75">
      <c r="A54" s="8"/>
      <c r="B54" s="9">
        <v>0</v>
      </c>
      <c r="C54" s="9">
        <v>1</v>
      </c>
      <c r="D54" s="9">
        <v>2</v>
      </c>
      <c r="E54" s="9">
        <v>3</v>
      </c>
      <c r="F54" s="9">
        <v>4</v>
      </c>
      <c r="G54" s="9">
        <v>5</v>
      </c>
      <c r="H54" s="9">
        <v>6</v>
      </c>
      <c r="I54" s="9">
        <v>7</v>
      </c>
      <c r="J54" s="9">
        <v>8</v>
      </c>
      <c r="K54" s="9">
        <v>9</v>
      </c>
      <c r="L54" s="9">
        <v>10</v>
      </c>
      <c r="N54" s="32" t="s">
        <v>14</v>
      </c>
      <c r="O54" s="32" t="s">
        <v>16</v>
      </c>
      <c r="P54" s="32" t="s">
        <v>17</v>
      </c>
      <c r="Q54" s="32" t="s">
        <v>42</v>
      </c>
      <c r="R54" s="46" t="s">
        <v>25</v>
      </c>
      <c r="S54" s="46" t="s">
        <v>22</v>
      </c>
    </row>
    <row r="55" spans="1:19" ht="12.75">
      <c r="A55" s="1">
        <v>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N55" s="31">
        <f>INDEX(B$75:G$83,A55+1,E$50)/N11</f>
        <v>238.27169690048044</v>
      </c>
      <c r="O55" s="31">
        <f>N55^(1-$B$51)</f>
        <v>1</v>
      </c>
      <c r="P55" s="31">
        <f>N55^(2-$B$51)</f>
        <v>238.27169690048044</v>
      </c>
      <c r="Q55" s="7">
        <f>SUMPRODUCT(P$55:P55,N$11:N11)</f>
        <v>26913502.979999967</v>
      </c>
      <c r="R55" s="7">
        <f>SUMPRODUCT(B37:L37,B$66:L$66)</f>
        <v>238.27169690048044</v>
      </c>
      <c r="S55" s="31">
        <f>INDEX(B$68:L$68,L$54+1-A55)*N55-R55</f>
        <v>0</v>
      </c>
    </row>
    <row r="56" spans="1:19" ht="12.75">
      <c r="A56" s="1">
        <v>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15">
        <f>L$65*$N56*$N12</f>
        <v>329.6243466552919</v>
      </c>
      <c r="N56" s="31">
        <f>INDEX(B$75:G$83,A56+1,E$50)/N12</f>
        <v>250.20264936343958</v>
      </c>
      <c r="O56" s="31">
        <f aca="true" t="shared" si="3" ref="O56:O63">N56^(1-$B$51)</f>
        <v>1</v>
      </c>
      <c r="P56" s="31">
        <f aca="true" t="shared" si="4" ref="P56:P63">N56^(2-$B$51)</f>
        <v>250.20264936343958</v>
      </c>
      <c r="Q56" s="7">
        <f>SUMPRODUCT(P$55:P56,N$11:N12)</f>
        <v>54526868.17434661</v>
      </c>
      <c r="R56" s="7">
        <f aca="true" t="shared" si="5" ref="R56:R63">SUMPRODUCT(B38:L38,B$66:L$66)</f>
        <v>250.1996626617374</v>
      </c>
      <c r="S56" s="31">
        <f aca="true" t="shared" si="6" ref="S56:S63">INDEX(B$68:L$68,L$54+1-A56)*N56-R56</f>
        <v>0</v>
      </c>
    </row>
    <row r="57" spans="1:19" ht="12.75">
      <c r="A57" s="1">
        <v>2</v>
      </c>
      <c r="B57" s="7"/>
      <c r="C57" s="7"/>
      <c r="D57" s="7"/>
      <c r="E57" s="7"/>
      <c r="F57" s="7"/>
      <c r="G57" s="7"/>
      <c r="H57" s="7"/>
      <c r="I57" s="7"/>
      <c r="J57" s="7"/>
      <c r="K57" s="15">
        <f>K$65*$N57*$N13</f>
        <v>21328.03052470329</v>
      </c>
      <c r="L57" s="15">
        <f>L$65*$N57*$N13</f>
        <v>334.7077347339759</v>
      </c>
      <c r="N57" s="31">
        <f>INDEX(B$75:G$83,A57+1,E$50)/N13</f>
        <v>266.02667863623736</v>
      </c>
      <c r="O57" s="31">
        <f t="shared" si="3"/>
        <v>1</v>
      </c>
      <c r="P57" s="31">
        <f t="shared" si="4"/>
        <v>266.02667863623736</v>
      </c>
      <c r="Q57" s="7">
        <f>SUMPRODUCT(P$55:P57,N$11:N13)</f>
        <v>82566080.10260603</v>
      </c>
      <c r="R57" s="7">
        <f t="shared" si="5"/>
        <v>265.8211498102464</v>
      </c>
      <c r="S57" s="31">
        <f t="shared" si="6"/>
        <v>0</v>
      </c>
    </row>
    <row r="58" spans="1:19" ht="12.75">
      <c r="A58" s="1">
        <v>3</v>
      </c>
      <c r="B58" s="7"/>
      <c r="C58" s="7"/>
      <c r="D58" s="7"/>
      <c r="E58" s="7"/>
      <c r="F58" s="7"/>
      <c r="G58" s="7"/>
      <c r="H58" s="7"/>
      <c r="I58" s="7"/>
      <c r="J58" s="15">
        <f>J$65*$N58*$N14</f>
        <v>20401.12697111431</v>
      </c>
      <c r="K58" s="15">
        <f>K$65*$N58*$N14</f>
        <v>20287.55618492179</v>
      </c>
      <c r="L58" s="15">
        <f>L$65*$N58*$N14</f>
        <v>318.3792317850642</v>
      </c>
      <c r="N58" s="31">
        <f>INDEX(B$75:G$83,A58+1,E$50)/N14</f>
        <v>261.31204887365953</v>
      </c>
      <c r="O58" s="31">
        <f t="shared" si="3"/>
        <v>1</v>
      </c>
      <c r="P58" s="31">
        <f t="shared" si="4"/>
        <v>261.31204887365953</v>
      </c>
      <c r="Q58" s="7">
        <f>SUMPRODUCT(P$55:P58,N$11:N14)</f>
        <v>109237416.99499384</v>
      </c>
      <c r="R58" s="7">
        <f t="shared" si="5"/>
        <v>260.91028275544477</v>
      </c>
      <c r="S58" s="31">
        <f t="shared" si="6"/>
        <v>0</v>
      </c>
    </row>
    <row r="59" spans="1:19" ht="12.75">
      <c r="A59" s="1">
        <v>4</v>
      </c>
      <c r="B59" s="7"/>
      <c r="C59" s="7"/>
      <c r="D59" s="7"/>
      <c r="E59" s="7"/>
      <c r="F59" s="7"/>
      <c r="G59" s="7"/>
      <c r="H59" s="7"/>
      <c r="I59" s="15">
        <f>I$65*$N59*$N15</f>
        <v>49001.45477151581</v>
      </c>
      <c r="J59" s="15">
        <f>J$65*$N59*$N15</f>
        <v>19673.69279326387</v>
      </c>
      <c r="K59" s="15">
        <f>K$65*$N59*$N15</f>
        <v>19564.17155156949</v>
      </c>
      <c r="L59" s="15">
        <f>L$65*$N59*$N15</f>
        <v>307.02692095213115</v>
      </c>
      <c r="N59" s="31">
        <f>INDEX(B$75:G$83,A59+1,E$50)/N15</f>
        <v>259.4762978293581</v>
      </c>
      <c r="O59" s="31">
        <f t="shared" si="3"/>
        <v>1</v>
      </c>
      <c r="P59" s="31">
        <f t="shared" si="4"/>
        <v>259.4762978293581</v>
      </c>
      <c r="Q59" s="7">
        <f>SUMPRODUCT(P$55:P59,N$11:N15)</f>
        <v>134957745.54103112</v>
      </c>
      <c r="R59" s="7">
        <f t="shared" si="5"/>
        <v>258.5830091602436</v>
      </c>
      <c r="S59" s="31">
        <f t="shared" si="6"/>
        <v>0</v>
      </c>
    </row>
    <row r="60" spans="1:19" ht="12.75">
      <c r="A60" s="1">
        <v>5</v>
      </c>
      <c r="B60" s="7"/>
      <c r="C60" s="7"/>
      <c r="D60" s="7"/>
      <c r="E60" s="7"/>
      <c r="F60" s="7"/>
      <c r="G60" s="7"/>
      <c r="H60" s="15">
        <f>H$65*$N60*$N16</f>
        <v>51517.139655111765</v>
      </c>
      <c r="I60" s="15">
        <f>I$65*$N60*$N16</f>
        <v>49049.08813781452</v>
      </c>
      <c r="J60" s="15">
        <f>J$65*$N60*$N16</f>
        <v>19692.81720946007</v>
      </c>
      <c r="K60" s="15">
        <f>K$65*$N60*$N16</f>
        <v>19583.18950428522</v>
      </c>
      <c r="L60" s="15">
        <f>L$65*$N60*$N16</f>
        <v>307.3253758828566</v>
      </c>
      <c r="N60" s="31">
        <f>INDEX(B$75:G$83,A60+1,E$50)/N16</f>
        <v>253.74857855196706</v>
      </c>
      <c r="O60" s="31">
        <f t="shared" si="3"/>
        <v>1</v>
      </c>
      <c r="P60" s="31">
        <f t="shared" si="4"/>
        <v>253.74857855196706</v>
      </c>
      <c r="Q60" s="7">
        <f>SUMPRODUCT(P$55:P60,N$11:N16)</f>
        <v>160703076.3209137</v>
      </c>
      <c r="R60" s="7">
        <f t="shared" si="5"/>
        <v>252.36725034496374</v>
      </c>
      <c r="S60" s="31">
        <f t="shared" si="6"/>
        <v>0</v>
      </c>
    </row>
    <row r="61" spans="1:19" ht="12.75">
      <c r="A61" s="1">
        <v>6</v>
      </c>
      <c r="B61" s="7"/>
      <c r="C61" s="7"/>
      <c r="D61" s="7"/>
      <c r="E61" s="7"/>
      <c r="F61" s="7"/>
      <c r="G61" s="15">
        <f aca="true" t="shared" si="7" ref="G61:L61">G$65*$N61*$N17</f>
        <v>71508.58041383192</v>
      </c>
      <c r="H61" s="15">
        <f t="shared" si="7"/>
        <v>48759.69892990964</v>
      </c>
      <c r="I61" s="15">
        <f t="shared" si="7"/>
        <v>46423.74919099631</v>
      </c>
      <c r="J61" s="15">
        <f t="shared" si="7"/>
        <v>18638.764586762907</v>
      </c>
      <c r="K61" s="15">
        <f t="shared" si="7"/>
        <v>18535.004674343698</v>
      </c>
      <c r="L61" s="15">
        <f t="shared" si="7"/>
        <v>290.87586969868795</v>
      </c>
      <c r="N61" s="31">
        <f>INDEX(B$75:G$83,A61+1,E$50)/N17</f>
        <v>257.1667285855385</v>
      </c>
      <c r="O61" s="31">
        <f t="shared" si="3"/>
        <v>1</v>
      </c>
      <c r="P61" s="31">
        <f t="shared" si="4"/>
        <v>257.1667285855385</v>
      </c>
      <c r="Q61" s="7">
        <f>SUMPRODUCT(P$55:P61,N$11:N17)</f>
        <v>185070395.35457924</v>
      </c>
      <c r="R61" s="7">
        <f t="shared" si="5"/>
        <v>255.0121089569722</v>
      </c>
      <c r="S61" s="31">
        <f t="shared" si="6"/>
        <v>0</v>
      </c>
    </row>
    <row r="62" spans="1:19" ht="12.75">
      <c r="A62" s="1">
        <v>7</v>
      </c>
      <c r="B62" s="7"/>
      <c r="C62" s="7"/>
      <c r="D62" s="7"/>
      <c r="E62" s="7"/>
      <c r="F62" s="15">
        <f>F$65*$N62*$N18</f>
        <v>170901.6348455733</v>
      </c>
      <c r="G62" s="15">
        <f aca="true" t="shared" si="8" ref="G62:L62">G$65*$N62*$N18</f>
        <v>67188.23146283878</v>
      </c>
      <c r="H62" s="15">
        <f t="shared" si="8"/>
        <v>45813.7739387623</v>
      </c>
      <c r="I62" s="15">
        <f t="shared" si="8"/>
        <v>43618.95576679775</v>
      </c>
      <c r="J62" s="15">
        <f t="shared" si="8"/>
        <v>17512.662424418028</v>
      </c>
      <c r="K62" s="15">
        <f t="shared" si="8"/>
        <v>17415.171396462487</v>
      </c>
      <c r="L62" s="15">
        <f t="shared" si="8"/>
        <v>273.3019610677335</v>
      </c>
      <c r="N62" s="31">
        <f>INDEX(B$75:G$83,A62+1,E$50)/N18</f>
        <v>247.98121430361923</v>
      </c>
      <c r="O62" s="31">
        <f t="shared" si="3"/>
        <v>1</v>
      </c>
      <c r="P62" s="31">
        <f t="shared" si="4"/>
        <v>247.98121430361923</v>
      </c>
      <c r="Q62" s="7">
        <f>SUMPRODUCT(P$55:P62,N$11:N18)</f>
        <v>207965508.9463752</v>
      </c>
      <c r="R62" s="7">
        <f t="shared" si="5"/>
        <v>244.0524864068629</v>
      </c>
      <c r="S62" s="31">
        <f t="shared" si="6"/>
        <v>0</v>
      </c>
    </row>
    <row r="63" spans="1:19" ht="12.75">
      <c r="A63" s="3">
        <v>8</v>
      </c>
      <c r="B63" s="6"/>
      <c r="C63" s="6"/>
      <c r="D63" s="6"/>
      <c r="E63" s="14">
        <f aca="true" t="shared" si="9" ref="E63:L63">E$65*$N63*$N19</f>
        <v>239515.41350601404</v>
      </c>
      <c r="F63" s="14">
        <f t="shared" si="9"/>
        <v>171158.23470133165</v>
      </c>
      <c r="G63" s="14">
        <f t="shared" si="9"/>
        <v>67289.11107418717</v>
      </c>
      <c r="H63" s="14">
        <f t="shared" si="9"/>
        <v>45882.560921374</v>
      </c>
      <c r="I63" s="14">
        <f t="shared" si="9"/>
        <v>43684.447344852015</v>
      </c>
      <c r="J63" s="14">
        <f t="shared" si="9"/>
        <v>17538.95677002865</v>
      </c>
      <c r="K63" s="14">
        <f t="shared" si="9"/>
        <v>17441.319364399584</v>
      </c>
      <c r="L63" s="14">
        <f t="shared" si="9"/>
        <v>273.7123096513022</v>
      </c>
      <c r="N63" s="29">
        <f>INDEX(B$75:G$83,A63+1,E$50)/N19</f>
        <v>256.0666637555625</v>
      </c>
      <c r="O63" s="29">
        <f t="shared" si="3"/>
        <v>1</v>
      </c>
      <c r="P63" s="29">
        <f t="shared" si="4"/>
        <v>256.0666637555625</v>
      </c>
      <c r="Q63" s="6">
        <f>SUMPRODUCT(P$55:P63,N$11:N19)</f>
        <v>230894998.35236704</v>
      </c>
      <c r="R63" s="6">
        <f t="shared" si="5"/>
        <v>249.33503434027588</v>
      </c>
      <c r="S63" s="29">
        <f t="shared" si="6"/>
        <v>0</v>
      </c>
    </row>
    <row r="64" ht="12.75"/>
    <row r="65" spans="1:12" ht="12.75">
      <c r="A65" s="30" t="s">
        <v>15</v>
      </c>
      <c r="B65" s="81">
        <f>INDEX($B84:$G94,B54+1,$E50)</f>
        <v>0.711943810662951</v>
      </c>
      <c r="C65" s="81">
        <f>INDEX($B84:$G94,C54+1,$E50)</f>
        <v>0.23331853792599797</v>
      </c>
      <c r="D65" s="81">
        <f>INDEX($B84:$G94,D54+1,$E50)</f>
        <v>0.028449069693469435</v>
      </c>
      <c r="E65" s="81">
        <f>INDEX($B84:$G94,E54+1,$E50)</f>
        <v>0.010445736896497346</v>
      </c>
      <c r="F65" s="81">
        <f>INDEX($B84:$G94,F54+1,$E50)</f>
        <v>0.00746454627361241</v>
      </c>
      <c r="G65" s="81">
        <f>INDEX($B84:$G94,G54+1,$E50)</f>
        <v>0.002934610094571205</v>
      </c>
      <c r="H65" s="81">
        <f>INDEX($B84:$G94,H54+1,$E50)</f>
        <v>0.0020010284620373686</v>
      </c>
      <c r="I65" s="81">
        <f>INDEX($B84:$G94,I54+1,$E50)</f>
        <v>0.0019051644182463377</v>
      </c>
      <c r="J65" s="81">
        <f>INDEX($B84:$G94,J54+1,$E50)</f>
        <v>0.0007649083003760843</v>
      </c>
      <c r="K65" s="81">
        <f>INDEX($B84:$G94,K54+1,$E50)</f>
        <v>0.0007606501416399567</v>
      </c>
      <c r="L65" s="81">
        <f>INDEX($B84:$G94,L54+1,$E50)</f>
        <v>1.1937130600901072E-05</v>
      </c>
    </row>
    <row r="66" spans="1:12" ht="12.75">
      <c r="A66" s="1" t="s">
        <v>19</v>
      </c>
      <c r="B66" s="45">
        <f>B$65^(1-$B$51)</f>
        <v>1</v>
      </c>
      <c r="C66" s="45">
        <f>C$65^(1-$B$51)</f>
        <v>1</v>
      </c>
      <c r="D66" s="45">
        <f>D$65^(1-$B$51)</f>
        <v>1</v>
      </c>
      <c r="E66" s="45">
        <f>E$65^(1-$B$51)</f>
        <v>1</v>
      </c>
      <c r="F66" s="45">
        <f>F$65^(1-$B$51)</f>
        <v>1</v>
      </c>
      <c r="G66" s="45">
        <f>G$65^(1-$B$51)</f>
        <v>1</v>
      </c>
      <c r="H66" s="45">
        <f>H$65^(1-$B$51)</f>
        <v>1</v>
      </c>
      <c r="I66" s="45">
        <f>I$65^(1-$B$51)</f>
        <v>1</v>
      </c>
      <c r="J66" s="45">
        <f>J$65^(1-$B$51)</f>
        <v>1</v>
      </c>
      <c r="K66" s="45">
        <f>K$65^(1-$B$51)</f>
        <v>1</v>
      </c>
      <c r="L66" s="45">
        <f>L$65^(1-$B$51)</f>
        <v>1</v>
      </c>
    </row>
    <row r="67" spans="1:12" ht="12.75">
      <c r="A67" s="1" t="s">
        <v>20</v>
      </c>
      <c r="B67" s="61">
        <f>B$65^(2-$B$51)</f>
        <v>0.711943810662951</v>
      </c>
      <c r="C67" s="61">
        <f>C$65^(2-$B$51)</f>
        <v>0.23331853792599797</v>
      </c>
      <c r="D67" s="61">
        <f>D$65^(2-$B$51)</f>
        <v>0.028449069693469435</v>
      </c>
      <c r="E67" s="61">
        <f>E$65^(2-$B$51)</f>
        <v>0.010445736896497346</v>
      </c>
      <c r="F67" s="61">
        <f>F$65^(2-$B$51)</f>
        <v>0.00746454627361241</v>
      </c>
      <c r="G67" s="61">
        <f>G$65^(2-$B$51)</f>
        <v>0.002934610094571205</v>
      </c>
      <c r="H67" s="61">
        <f>H$65^(2-$B$51)</f>
        <v>0.0020010284620373686</v>
      </c>
      <c r="I67" s="61">
        <f>I$65^(2-$B$51)</f>
        <v>0.0019051644182463377</v>
      </c>
      <c r="J67" s="61">
        <f>J$65^(2-$B$51)</f>
        <v>0.0007649083003760843</v>
      </c>
      <c r="K67" s="61">
        <f>K$65^(2-$B$51)</f>
        <v>0.0007606501416399567</v>
      </c>
      <c r="L67" s="61">
        <f>L$65^(2-$B$51)</f>
        <v>1.1937130600901072E-05</v>
      </c>
    </row>
    <row r="68" spans="1:12" ht="12.75">
      <c r="A68" s="1" t="s">
        <v>21</v>
      </c>
      <c r="B68" s="7">
        <f>SUM($B67:B67)</f>
        <v>0.711943810662951</v>
      </c>
      <c r="C68" s="7">
        <f>SUM($B67:C67)</f>
        <v>0.945262348588949</v>
      </c>
      <c r="D68" s="7">
        <f>SUM($B67:D67)</f>
        <v>0.9737114182824184</v>
      </c>
      <c r="E68" s="7">
        <f>SUM($B67:E67)</f>
        <v>0.9841571551789157</v>
      </c>
      <c r="F68" s="7">
        <f>SUM($B67:F67)</f>
        <v>0.991621701452528</v>
      </c>
      <c r="G68" s="7">
        <f>SUM($B67:G67)</f>
        <v>0.9945563115470992</v>
      </c>
      <c r="H68" s="7">
        <f>SUM($B67:H67)</f>
        <v>0.9965573400091365</v>
      </c>
      <c r="I68" s="7">
        <f>SUM($B67:I67)</f>
        <v>0.9984625044273828</v>
      </c>
      <c r="J68" s="7">
        <f>SUM($B67:J67)</f>
        <v>0.999227412727759</v>
      </c>
      <c r="K68" s="7">
        <f>SUM($B67:K67)</f>
        <v>0.9999880628693989</v>
      </c>
      <c r="L68" s="7">
        <f>SUM($B67:L67)</f>
        <v>0.9999999999999998</v>
      </c>
    </row>
    <row r="69" spans="1:12" ht="12.75">
      <c r="A69" s="48" t="s">
        <v>23</v>
      </c>
      <c r="B69" s="7">
        <f aca="true" t="shared" si="10" ref="B69:L69">SUMPRODUCT(B11:B19,$O55:$O63)</f>
        <v>164384264.98999992</v>
      </c>
      <c r="C69" s="7">
        <f t="shared" si="10"/>
        <v>53872083.42999999</v>
      </c>
      <c r="D69" s="7">
        <f t="shared" si="10"/>
        <v>6568747.899999999</v>
      </c>
      <c r="E69" s="7">
        <f t="shared" si="10"/>
        <v>2172352.99</v>
      </c>
      <c r="F69" s="7">
        <f t="shared" si="10"/>
        <v>1381466.53</v>
      </c>
      <c r="G69" s="7">
        <f t="shared" si="10"/>
        <v>471600.87000000005</v>
      </c>
      <c r="H69" s="7">
        <f t="shared" si="10"/>
        <v>270054.29000000004</v>
      </c>
      <c r="I69" s="7">
        <f t="shared" si="10"/>
        <v>208115.24</v>
      </c>
      <c r="J69" s="7">
        <f t="shared" si="10"/>
        <v>63155.479999999996</v>
      </c>
      <c r="K69" s="7">
        <f t="shared" si="10"/>
        <v>41475.869999999995</v>
      </c>
      <c r="L69" s="7">
        <f>SUMPRODUCT(L11:L19,$O55:$O63)</f>
        <v>321.27</v>
      </c>
    </row>
    <row r="70" spans="1:18" ht="12.75">
      <c r="A70" s="49" t="s">
        <v>22</v>
      </c>
      <c r="B70" s="29">
        <f>INDEX($Q55:$Q63,$A63+1-B54)*B65-B69</f>
        <v>0</v>
      </c>
      <c r="C70" s="29">
        <f>INDEX($Q55:$Q63,$A63+2-C54)*C65-C69</f>
        <v>0</v>
      </c>
      <c r="D70" s="29">
        <f>INDEX($Q55:$Q63,$A63+3-D54)*D65-D69</f>
        <v>0</v>
      </c>
      <c r="E70" s="29">
        <f aca="true" t="shared" si="11" ref="E70:L70">INDEX($Q55:$Q63,$A63+3-E54)*E65-E69</f>
        <v>0</v>
      </c>
      <c r="F70" s="29">
        <f t="shared" si="11"/>
        <v>0</v>
      </c>
      <c r="G70" s="29">
        <f t="shared" si="11"/>
        <v>0</v>
      </c>
      <c r="H70" s="29">
        <f t="shared" si="11"/>
        <v>0</v>
      </c>
      <c r="I70" s="29">
        <f t="shared" si="11"/>
        <v>0</v>
      </c>
      <c r="J70" s="29">
        <f t="shared" si="11"/>
        <v>0</v>
      </c>
      <c r="K70" s="29">
        <f t="shared" si="11"/>
        <v>0</v>
      </c>
      <c r="L70" s="29">
        <f t="shared" si="11"/>
        <v>0</v>
      </c>
      <c r="Q70" s="11" t="s">
        <v>26</v>
      </c>
      <c r="R70" s="82">
        <f>SUMPRODUCT(S55:S63,S55:S63)+SUMPRODUCT(B70:K70,B70:K70)</f>
        <v>0</v>
      </c>
    </row>
    <row r="74" spans="1:15" ht="12.75">
      <c r="A74" s="30" t="s">
        <v>31</v>
      </c>
      <c r="B74" s="9">
        <v>1</v>
      </c>
      <c r="C74" s="9">
        <v>1.5</v>
      </c>
      <c r="D74" s="9">
        <v>2</v>
      </c>
      <c r="E74" s="87">
        <v>1.1742644301021696</v>
      </c>
      <c r="F74" s="87">
        <v>1.1741135560576268</v>
      </c>
      <c r="G74" s="10"/>
      <c r="H74" s="32" t="s">
        <v>61</v>
      </c>
      <c r="I74" s="88"/>
      <c r="J74" s="88"/>
      <c r="K74" s="10"/>
      <c r="L74" s="10"/>
      <c r="N74" s="10"/>
      <c r="O74" s="10"/>
    </row>
    <row r="75" spans="1:15" ht="12.75">
      <c r="A75" s="75" t="s">
        <v>41</v>
      </c>
      <c r="B75" s="7">
        <v>26913502.979999967</v>
      </c>
      <c r="C75" s="7">
        <v>27092616.31158157</v>
      </c>
      <c r="D75" s="7">
        <v>22254754.188207094</v>
      </c>
      <c r="E75" s="7">
        <v>27180280.191853557</v>
      </c>
      <c r="F75" s="7">
        <v>27180082.48920111</v>
      </c>
      <c r="G75" s="7"/>
      <c r="H75" s="10">
        <f>INDEX(B75:F75,E$50)/N11</f>
        <v>238.27169690048044</v>
      </c>
      <c r="I75" s="45"/>
      <c r="J75" s="45"/>
      <c r="K75" s="45"/>
      <c r="L75" s="7"/>
      <c r="M75" s="7"/>
      <c r="N75" s="7"/>
      <c r="O75" s="10"/>
    </row>
    <row r="76" spans="1:15" ht="12.75">
      <c r="A76" s="76"/>
      <c r="B76" s="7">
        <v>27613365.194346644</v>
      </c>
      <c r="C76" s="7">
        <v>27521254.151118353</v>
      </c>
      <c r="D76" s="7">
        <v>30965818.859732036</v>
      </c>
      <c r="E76" s="7">
        <v>27566632.7602106</v>
      </c>
      <c r="F76" s="7">
        <v>27566687.137181558</v>
      </c>
      <c r="G76" s="7"/>
      <c r="H76" s="10">
        <f aca="true" t="shared" si="12" ref="H76:H84">INDEX(B76:F76,E$50)/N12</f>
        <v>250.20264936343958</v>
      </c>
      <c r="I76" s="45"/>
      <c r="J76" s="45"/>
      <c r="K76" s="45"/>
      <c r="L76" s="7"/>
      <c r="M76" s="7"/>
      <c r="N76" s="7"/>
      <c r="O76" s="10"/>
    </row>
    <row r="77" spans="1:15" ht="12.75">
      <c r="A77" s="76"/>
      <c r="B77" s="7">
        <v>28039211.928259417</v>
      </c>
      <c r="C77" s="7">
        <v>27775062.346203852</v>
      </c>
      <c r="D77" s="7">
        <v>25884677.470474366</v>
      </c>
      <c r="E77" s="7">
        <v>28049063.425436594</v>
      </c>
      <c r="F77" s="7">
        <v>28049074.61453546</v>
      </c>
      <c r="G77" s="7"/>
      <c r="H77" s="10">
        <f t="shared" si="12"/>
        <v>266.02667863623736</v>
      </c>
      <c r="I77" s="45"/>
      <c r="J77" s="45"/>
      <c r="K77" s="45"/>
      <c r="L77" s="7"/>
      <c r="M77" s="7"/>
      <c r="N77" s="7"/>
      <c r="O77" s="10"/>
    </row>
    <row r="78" spans="1:15" ht="12.75">
      <c r="A78" s="76"/>
      <c r="B78" s="7">
        <v>26671336.892387807</v>
      </c>
      <c r="C78" s="7">
        <v>26483259.77409855</v>
      </c>
      <c r="D78" s="7">
        <v>26661089.867471974</v>
      </c>
      <c r="E78" s="7">
        <v>26606567.6501398</v>
      </c>
      <c r="F78" s="7">
        <v>26606625.482539754</v>
      </c>
      <c r="G78" s="7"/>
      <c r="H78" s="10">
        <f t="shared" si="12"/>
        <v>261.31204887365953</v>
      </c>
      <c r="I78" s="45"/>
      <c r="J78" s="45"/>
      <c r="K78" s="45"/>
      <c r="L78" s="7"/>
      <c r="M78" s="7"/>
      <c r="N78" s="7"/>
      <c r="O78" s="10"/>
    </row>
    <row r="79" spans="1:15" ht="12.75">
      <c r="A79" s="76"/>
      <c r="B79" s="7">
        <v>25720328.54603729</v>
      </c>
      <c r="C79" s="7">
        <v>27640802.736135196</v>
      </c>
      <c r="D79" s="7">
        <v>36555906.00549065</v>
      </c>
      <c r="E79" s="7">
        <v>25994130.145417117</v>
      </c>
      <c r="F79" s="7">
        <v>25993778.389565345</v>
      </c>
      <c r="G79" s="7"/>
      <c r="H79" s="10">
        <f t="shared" si="12"/>
        <v>259.4762978293581</v>
      </c>
      <c r="I79" s="45"/>
      <c r="J79" s="45"/>
      <c r="K79" s="45"/>
      <c r="L79" s="7"/>
      <c r="M79" s="7"/>
      <c r="N79" s="7"/>
      <c r="O79" s="10"/>
    </row>
    <row r="80" spans="1:15" ht="12.75">
      <c r="A80" s="76"/>
      <c r="B80" s="7">
        <v>25745330.779882576</v>
      </c>
      <c r="C80" s="7">
        <v>24792613.385710414</v>
      </c>
      <c r="D80" s="7">
        <v>23843767.54294806</v>
      </c>
      <c r="E80" s="7">
        <v>25501599.912858427</v>
      </c>
      <c r="F80" s="7">
        <v>25501849.785045758</v>
      </c>
      <c r="G80" s="7"/>
      <c r="H80" s="10">
        <f t="shared" si="12"/>
        <v>253.74857855196706</v>
      </c>
      <c r="I80" s="45"/>
      <c r="J80" s="45"/>
      <c r="K80" s="45"/>
      <c r="L80" s="7"/>
      <c r="M80" s="7"/>
      <c r="N80" s="7"/>
      <c r="O80" s="10"/>
    </row>
    <row r="81" spans="1:15" ht="12.75">
      <c r="A81" s="76"/>
      <c r="B81" s="7">
        <v>24367319.03366553</v>
      </c>
      <c r="C81" s="7">
        <v>24928727.848071396</v>
      </c>
      <c r="D81" s="7">
        <v>27807939.76876352</v>
      </c>
      <c r="E81" s="7">
        <v>24454911.436128892</v>
      </c>
      <c r="F81" s="7">
        <v>24454806.46312531</v>
      </c>
      <c r="G81" s="7"/>
      <c r="H81" s="10">
        <f t="shared" si="12"/>
        <v>257.1667285855385</v>
      </c>
      <c r="I81" s="45"/>
      <c r="J81" s="45"/>
      <c r="K81" s="45"/>
      <c r="L81" s="7"/>
      <c r="M81" s="7"/>
      <c r="N81" s="7"/>
      <c r="O81" s="10"/>
    </row>
    <row r="82" spans="1:15" ht="12.75">
      <c r="A82" s="76"/>
      <c r="B82" s="7">
        <v>22895113.591795947</v>
      </c>
      <c r="C82" s="7">
        <v>22548843.88105755</v>
      </c>
      <c r="D82" s="7">
        <v>22119028.420917284</v>
      </c>
      <c r="E82" s="7">
        <v>22792469.491327327</v>
      </c>
      <c r="F82" s="7">
        <v>22792567.52932155</v>
      </c>
      <c r="G82" s="7"/>
      <c r="H82" s="10">
        <f t="shared" si="12"/>
        <v>247.98121430361923</v>
      </c>
      <c r="I82" s="45"/>
      <c r="J82" s="45"/>
      <c r="K82" s="45"/>
      <c r="L82" s="7"/>
      <c r="M82" s="7"/>
      <c r="N82" s="7"/>
      <c r="O82" s="10"/>
    </row>
    <row r="83" spans="1:15" ht="12.75">
      <c r="A83" s="77"/>
      <c r="B83" s="6">
        <v>22929489.405991845</v>
      </c>
      <c r="C83" s="6">
        <v>22201300.123931568</v>
      </c>
      <c r="D83" s="6">
        <v>20697725.54733336</v>
      </c>
      <c r="E83" s="6">
        <v>22739381.078933567</v>
      </c>
      <c r="F83" s="6">
        <v>22739570.22168069</v>
      </c>
      <c r="G83" s="7"/>
      <c r="H83" s="10">
        <f t="shared" si="12"/>
        <v>256.0666637555625</v>
      </c>
      <c r="I83" s="45"/>
      <c r="J83" s="45"/>
      <c r="K83" s="45"/>
      <c r="L83" s="7"/>
      <c r="M83" s="7"/>
      <c r="N83" s="7"/>
      <c r="O83" s="10"/>
    </row>
    <row r="84" spans="1:15" ht="12.75">
      <c r="A84" s="78" t="s">
        <v>15</v>
      </c>
      <c r="B84" s="72">
        <v>0.711943810662951</v>
      </c>
      <c r="C84" s="72">
        <v>0.7119661943088457</v>
      </c>
      <c r="D84" s="72">
        <v>0.711237646819182</v>
      </c>
      <c r="E84" s="72">
        <v>0.7119255259898898</v>
      </c>
      <c r="F84" s="72">
        <v>0.7119255244613776</v>
      </c>
      <c r="G84" s="72"/>
      <c r="H84" s="81">
        <f>INDEX(B84:F84,E$50)</f>
        <v>0.711943810662951</v>
      </c>
      <c r="I84" s="72"/>
      <c r="J84" s="72"/>
      <c r="K84" s="72"/>
      <c r="L84" s="10"/>
      <c r="N84" s="10"/>
      <c r="O84" s="10"/>
    </row>
    <row r="85" spans="1:15" ht="12.75">
      <c r="A85" s="78"/>
      <c r="B85" s="72">
        <v>0.23331853792599797</v>
      </c>
      <c r="C85" s="72">
        <v>0.2335007902780192</v>
      </c>
      <c r="D85" s="72">
        <v>0.23464507450499664</v>
      </c>
      <c r="E85" s="72">
        <v>0.23338833545232737</v>
      </c>
      <c r="F85" s="72">
        <v>0.23338828473994547</v>
      </c>
      <c r="G85" s="72"/>
      <c r="H85" s="21">
        <f aca="true" t="shared" si="13" ref="H85:H94">INDEX(B85:F85,E$50)</f>
        <v>0.23331853792599797</v>
      </c>
      <c r="I85" s="72"/>
      <c r="J85" s="72"/>
      <c r="K85" s="72"/>
      <c r="L85" s="10"/>
      <c r="N85" s="10"/>
      <c r="O85" s="10"/>
    </row>
    <row r="86" spans="1:15" ht="12.75">
      <c r="A86" s="79"/>
      <c r="B86" s="72">
        <v>0.028449069693469435</v>
      </c>
      <c r="C86" s="72">
        <v>0.028441330078796758</v>
      </c>
      <c r="D86" s="72">
        <v>0.028607824162803462</v>
      </c>
      <c r="E86" s="72">
        <v>0.028446045764641898</v>
      </c>
      <c r="F86" s="72">
        <v>0.028446050110153387</v>
      </c>
      <c r="G86" s="72"/>
      <c r="H86" s="21">
        <f t="shared" si="13"/>
        <v>0.028449069693469435</v>
      </c>
      <c r="I86" s="72"/>
      <c r="J86" s="72"/>
      <c r="K86" s="72"/>
      <c r="L86" s="10"/>
      <c r="N86" s="10"/>
      <c r="O86" s="10"/>
    </row>
    <row r="87" spans="1:15" ht="12.75">
      <c r="A87" s="79"/>
      <c r="B87" s="72">
        <v>0.010445736896497346</v>
      </c>
      <c r="C87" s="72">
        <v>0.010418738090531253</v>
      </c>
      <c r="D87" s="72">
        <v>0.010539762945305639</v>
      </c>
      <c r="E87" s="72">
        <v>0.010440382191549556</v>
      </c>
      <c r="F87" s="72">
        <v>0.010440389234558813</v>
      </c>
      <c r="G87" s="72"/>
      <c r="H87" s="21">
        <f t="shared" si="13"/>
        <v>0.010445736896497346</v>
      </c>
      <c r="I87" s="72"/>
      <c r="J87" s="72"/>
      <c r="K87" s="72"/>
      <c r="L87" s="10"/>
      <c r="N87" s="10"/>
      <c r="O87" s="10"/>
    </row>
    <row r="88" spans="1:15" ht="12.75">
      <c r="A88" s="79"/>
      <c r="B88" s="72">
        <v>0.00746454627361241</v>
      </c>
      <c r="C88" s="72">
        <v>0.007362097890627618</v>
      </c>
      <c r="D88" s="72">
        <v>0.00700347863117034</v>
      </c>
      <c r="E88" s="72">
        <v>0.007446793941225084</v>
      </c>
      <c r="F88" s="72">
        <v>0.007446814458389893</v>
      </c>
      <c r="G88" s="72"/>
      <c r="H88" s="21">
        <f t="shared" si="13"/>
        <v>0.00746454627361241</v>
      </c>
      <c r="I88" s="72"/>
      <c r="J88" s="72"/>
      <c r="K88" s="72"/>
      <c r="L88" s="10"/>
      <c r="N88" s="10"/>
      <c r="O88" s="10"/>
    </row>
    <row r="89" spans="1:15" ht="12.75">
      <c r="A89" s="79"/>
      <c r="B89" s="72">
        <v>0.002934610094571205</v>
      </c>
      <c r="C89" s="72">
        <v>0.002912151759306857</v>
      </c>
      <c r="D89" s="72">
        <v>0.0028604798297181613</v>
      </c>
      <c r="E89" s="72">
        <v>0.0029283050394401425</v>
      </c>
      <c r="F89" s="72">
        <v>0.002928310825951134</v>
      </c>
      <c r="G89" s="72"/>
      <c r="H89" s="21">
        <f t="shared" si="13"/>
        <v>0.002934610094571205</v>
      </c>
      <c r="I89" s="72"/>
      <c r="J89" s="72"/>
      <c r="K89" s="72"/>
      <c r="L89" s="10"/>
      <c r="N89" s="10"/>
      <c r="O89" s="10"/>
    </row>
    <row r="90" spans="1:15" ht="12.75">
      <c r="A90" s="79"/>
      <c r="B90" s="72">
        <v>0.0020010284620373686</v>
      </c>
      <c r="C90" s="72">
        <v>0.0019512255167731677</v>
      </c>
      <c r="D90" s="72">
        <v>0.0017437788727315572</v>
      </c>
      <c r="E90" s="72">
        <v>0.001990012369128975</v>
      </c>
      <c r="F90" s="72">
        <v>0.001990023395136188</v>
      </c>
      <c r="G90" s="72"/>
      <c r="H90" s="21">
        <f t="shared" si="13"/>
        <v>0.0020010284620373686</v>
      </c>
      <c r="I90" s="72"/>
      <c r="J90" s="72"/>
      <c r="K90" s="72"/>
      <c r="L90" s="10"/>
      <c r="N90" s="10"/>
      <c r="O90" s="10"/>
    </row>
    <row r="91" spans="1:15" ht="12.75">
      <c r="A91" s="79"/>
      <c r="B91" s="72">
        <v>0.0019051644182463377</v>
      </c>
      <c r="C91" s="72">
        <v>0.0019155036862929427</v>
      </c>
      <c r="D91" s="72">
        <v>0.0018589023905910271</v>
      </c>
      <c r="E91" s="72">
        <v>0.0019042966271626421</v>
      </c>
      <c r="F91" s="72">
        <v>0.001904295725575184</v>
      </c>
      <c r="G91" s="72"/>
      <c r="H91" s="21">
        <f t="shared" si="13"/>
        <v>0.0019051644182463377</v>
      </c>
      <c r="I91" s="72"/>
      <c r="J91" s="72"/>
      <c r="K91" s="72"/>
      <c r="L91" s="10"/>
      <c r="N91" s="10"/>
      <c r="O91" s="10"/>
    </row>
    <row r="92" spans="1:15" ht="12.75">
      <c r="A92" s="79"/>
      <c r="B92" s="72">
        <v>0.0007649083003760843</v>
      </c>
      <c r="C92" s="72">
        <v>0.0007624277242862655</v>
      </c>
      <c r="D92" s="72">
        <v>0.0007208050189667625</v>
      </c>
      <c r="E92" s="72">
        <v>0.0007614773926309072</v>
      </c>
      <c r="F92" s="72">
        <v>0.0007614793745411062</v>
      </c>
      <c r="G92" s="72"/>
      <c r="H92" s="21">
        <f t="shared" si="13"/>
        <v>0.0007649083003760843</v>
      </c>
      <c r="I92" s="72"/>
      <c r="J92" s="72"/>
      <c r="K92" s="72"/>
      <c r="L92" s="10"/>
      <c r="N92" s="10"/>
      <c r="O92" s="10"/>
    </row>
    <row r="93" spans="1:15" ht="12.75">
      <c r="A93" s="79"/>
      <c r="B93" s="72">
        <v>0.0007606501416399567</v>
      </c>
      <c r="C93" s="72">
        <v>0.0007576824540722533</v>
      </c>
      <c r="D93" s="72">
        <v>0.0007678108079743209</v>
      </c>
      <c r="E93" s="72">
        <v>0.0007570052655523804</v>
      </c>
      <c r="F93" s="72">
        <v>0.0007570076219440023</v>
      </c>
      <c r="G93" s="72"/>
      <c r="H93" s="21">
        <f t="shared" si="13"/>
        <v>0.0007606501416399567</v>
      </c>
      <c r="I93" s="72"/>
      <c r="J93" s="72"/>
      <c r="K93" s="72"/>
      <c r="L93" s="10"/>
      <c r="N93" s="10"/>
      <c r="O93" s="10"/>
    </row>
    <row r="94" spans="1:15" ht="12.75">
      <c r="A94" s="80"/>
      <c r="B94" s="73">
        <v>1.1937130600901072E-05</v>
      </c>
      <c r="C94" s="74">
        <v>1.1858212448188811E-05</v>
      </c>
      <c r="D94" s="74">
        <v>1.4436016560014072E-05</v>
      </c>
      <c r="E94" s="74">
        <v>1.1819966451129183E-05</v>
      </c>
      <c r="F94" s="74">
        <v>1.1820052427274394E-05</v>
      </c>
      <c r="G94" s="72"/>
      <c r="H94" s="22">
        <f t="shared" si="13"/>
        <v>1.1937130600901072E-05</v>
      </c>
      <c r="I94" s="72"/>
      <c r="J94" s="72"/>
      <c r="K94" s="72"/>
      <c r="L94" s="10"/>
      <c r="N94" s="10"/>
      <c r="O94" s="10"/>
    </row>
    <row r="95" spans="7:15" ht="12.75">
      <c r="G95" s="10"/>
      <c r="H95" s="10"/>
      <c r="I95" s="10"/>
      <c r="J95" s="10"/>
      <c r="K95" s="10"/>
      <c r="L95" s="10"/>
      <c r="N95" s="10"/>
      <c r="O95" s="10"/>
    </row>
    <row r="96" spans="7:15" ht="12.75">
      <c r="G96" s="10"/>
      <c r="H96" s="10"/>
      <c r="I96" s="10"/>
      <c r="J96" s="10"/>
      <c r="K96" s="10"/>
      <c r="L96" s="10"/>
      <c r="N96" s="10"/>
      <c r="O96" s="10"/>
    </row>
  </sheetData>
  <conditionalFormatting sqref="N16">
    <cfRule type="expression" priority="1" dxfId="0" stopIfTrue="1">
      <formula>Month&lt;&gt;"12"</formula>
    </cfRule>
  </conditionalFormatting>
  <printOptions/>
  <pageMargins left="0.75" right="0.75" top="1" bottom="1" header="0.5" footer="0.5"/>
  <pageSetup horizontalDpi="1200" verticalDpi="12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R9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12" width="10.7109375" style="0" customWidth="1"/>
    <col min="13" max="13" width="10.7109375" style="10" customWidth="1"/>
    <col min="14" max="20" width="10.7109375" style="0" customWidth="1"/>
  </cols>
  <sheetData>
    <row r="1" spans="1:2" ht="12.75">
      <c r="A1" s="11" t="s">
        <v>1</v>
      </c>
      <c r="B1" s="11"/>
    </row>
    <row r="2" spans="1:13" s="13" customFormat="1" ht="12.75" customHeight="1">
      <c r="A2" s="13" t="s">
        <v>11</v>
      </c>
      <c r="M2" s="66"/>
    </row>
    <row r="3" spans="1:13" s="13" customFormat="1" ht="12.75" customHeight="1">
      <c r="A3" s="13" t="s">
        <v>2</v>
      </c>
      <c r="M3" s="66"/>
    </row>
    <row r="4" spans="1:13" s="13" customFormat="1" ht="12.75" customHeight="1">
      <c r="A4" t="s">
        <v>12</v>
      </c>
      <c r="M4" s="66"/>
    </row>
    <row r="5" s="13" customFormat="1" ht="12.75">
      <c r="M5" s="66"/>
    </row>
    <row r="6" ht="15.75">
      <c r="A6" s="4" t="s">
        <v>48</v>
      </c>
    </row>
    <row r="7" spans="1:16" ht="15.75">
      <c r="A7" s="4" t="s">
        <v>51</v>
      </c>
      <c r="P7" s="11" t="s">
        <v>57</v>
      </c>
    </row>
    <row r="8" ht="12.75"/>
    <row r="9" spans="1:18" ht="12.75">
      <c r="A9" s="11" t="s">
        <v>39</v>
      </c>
      <c r="P9" s="34" t="s">
        <v>8</v>
      </c>
      <c r="Q9" s="10"/>
      <c r="R9" s="83"/>
    </row>
    <row r="10" spans="1:18" ht="12.75">
      <c r="A10" s="8"/>
      <c r="B10" s="9">
        <v>0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  <c r="I10" s="9">
        <v>7</v>
      </c>
      <c r="J10" s="9">
        <v>8</v>
      </c>
      <c r="K10" s="9">
        <v>9</v>
      </c>
      <c r="L10" s="9">
        <v>10</v>
      </c>
      <c r="N10" s="63" t="s">
        <v>37</v>
      </c>
      <c r="O10" s="17"/>
      <c r="P10" s="10" t="str">
        <f>"p="&amp;B51</f>
        <v>p=2</v>
      </c>
      <c r="Q10" s="10"/>
      <c r="R10" s="10"/>
    </row>
    <row r="11" spans="1:18" ht="12.75">
      <c r="A11" s="1">
        <v>0</v>
      </c>
      <c r="B11" s="7">
        <v>17841110.48999996</v>
      </c>
      <c r="C11" s="7">
        <v>7442433.28000001</v>
      </c>
      <c r="D11" s="7">
        <v>895412.929999999</v>
      </c>
      <c r="E11" s="7">
        <v>407744.2</v>
      </c>
      <c r="F11" s="7">
        <v>207129.7</v>
      </c>
      <c r="G11" s="7">
        <v>61569.3</v>
      </c>
      <c r="H11" s="7">
        <v>15978.33</v>
      </c>
      <c r="I11" s="7">
        <v>24924.04</v>
      </c>
      <c r="J11" s="7">
        <v>1236.44</v>
      </c>
      <c r="K11" s="7">
        <v>15643</v>
      </c>
      <c r="L11" s="7">
        <v>321.27</v>
      </c>
      <c r="M11" s="7"/>
      <c r="N11" s="64">
        <v>112953</v>
      </c>
      <c r="O11" s="7"/>
      <c r="P11" s="34"/>
      <c r="Q11" s="10"/>
      <c r="R11" s="10"/>
    </row>
    <row r="12" spans="1:18" ht="12.75">
      <c r="A12" s="1">
        <v>1</v>
      </c>
      <c r="B12" s="7">
        <v>19519116.52999999</v>
      </c>
      <c r="C12" s="7">
        <v>6656519.789999995</v>
      </c>
      <c r="D12" s="7">
        <v>941457.8</v>
      </c>
      <c r="E12" s="7">
        <v>155395.35</v>
      </c>
      <c r="F12" s="7">
        <v>69458.45</v>
      </c>
      <c r="G12" s="7">
        <v>37769.1</v>
      </c>
      <c r="H12" s="7">
        <v>53831.94</v>
      </c>
      <c r="I12" s="7">
        <v>111390.75</v>
      </c>
      <c r="J12" s="7">
        <v>42262.99</v>
      </c>
      <c r="K12" s="7">
        <v>25832.87</v>
      </c>
      <c r="L12" s="7"/>
      <c r="M12" s="7"/>
      <c r="N12" s="64">
        <v>110364</v>
      </c>
      <c r="O12" s="7"/>
      <c r="P12" s="7">
        <f aca="true" t="shared" si="0" ref="P12:P19">SUM(C56:L56)</f>
        <v>318.71835051138055</v>
      </c>
      <c r="Q12" s="7"/>
      <c r="R12" s="10"/>
    </row>
    <row r="13" spans="1:18" ht="12.75">
      <c r="A13" s="1">
        <v>2</v>
      </c>
      <c r="B13" s="7">
        <v>19991172.019999966</v>
      </c>
      <c r="C13" s="7">
        <v>6327483.370000001</v>
      </c>
      <c r="D13" s="7">
        <v>1100176.65</v>
      </c>
      <c r="E13" s="7">
        <v>279649.2</v>
      </c>
      <c r="F13" s="7">
        <v>162653.9</v>
      </c>
      <c r="G13" s="7">
        <v>70000</v>
      </c>
      <c r="H13" s="7">
        <v>56877.5</v>
      </c>
      <c r="I13" s="7">
        <v>9880.5</v>
      </c>
      <c r="J13" s="7">
        <v>19656.05</v>
      </c>
      <c r="K13" s="7"/>
      <c r="L13" s="7"/>
      <c r="M13" s="7"/>
      <c r="N13" s="64">
        <v>105400</v>
      </c>
      <c r="O13" s="7"/>
      <c r="P13" s="7">
        <f t="shared" si="0"/>
        <v>22025.921369026113</v>
      </c>
      <c r="Q13" s="7"/>
      <c r="R13" s="10"/>
    </row>
    <row r="14" spans="1:18" ht="12.75">
      <c r="A14" s="1">
        <v>3</v>
      </c>
      <c r="B14" s="7">
        <v>19305646.42999999</v>
      </c>
      <c r="C14" s="7">
        <v>5889791.459999992</v>
      </c>
      <c r="D14" s="7">
        <v>793020.39</v>
      </c>
      <c r="E14" s="7">
        <v>309042.12</v>
      </c>
      <c r="F14" s="7">
        <v>145920.89</v>
      </c>
      <c r="G14" s="7">
        <v>97465.38</v>
      </c>
      <c r="H14" s="7">
        <v>27523.21</v>
      </c>
      <c r="I14" s="7">
        <v>61919.95</v>
      </c>
      <c r="J14" s="7"/>
      <c r="K14" s="7"/>
      <c r="L14" s="7"/>
      <c r="M14" s="7"/>
      <c r="N14" s="64">
        <v>102067</v>
      </c>
      <c r="O14" s="7"/>
      <c r="P14" s="7">
        <f t="shared" si="0"/>
        <v>43540.74506192515</v>
      </c>
      <c r="Q14" s="7"/>
      <c r="R14" s="10"/>
    </row>
    <row r="15" spans="1:18" ht="12.75">
      <c r="A15" s="1">
        <v>4</v>
      </c>
      <c r="B15" s="7">
        <v>18291477.829999987</v>
      </c>
      <c r="C15" s="7">
        <v>5793282.349999996</v>
      </c>
      <c r="D15" s="7">
        <v>689443.5</v>
      </c>
      <c r="E15" s="7">
        <v>288626.1</v>
      </c>
      <c r="F15" s="7">
        <v>342524.04</v>
      </c>
      <c r="G15" s="7">
        <v>110585.07</v>
      </c>
      <c r="H15" s="7">
        <v>115843.31</v>
      </c>
      <c r="I15" s="7"/>
      <c r="J15" s="7"/>
      <c r="K15" s="7"/>
      <c r="L15" s="7"/>
      <c r="M15" s="7"/>
      <c r="N15" s="64">
        <v>99124</v>
      </c>
      <c r="O15" s="7"/>
      <c r="P15" s="7">
        <f t="shared" si="0"/>
        <v>81303.3751626765</v>
      </c>
      <c r="Q15" s="7"/>
      <c r="R15" s="10"/>
    </row>
    <row r="16" spans="1:18" ht="12.75">
      <c r="A16" s="1">
        <v>5</v>
      </c>
      <c r="B16" s="7">
        <v>18832519.70000002</v>
      </c>
      <c r="C16" s="7">
        <v>5741213.52</v>
      </c>
      <c r="D16" s="7">
        <v>581797.55</v>
      </c>
      <c r="E16" s="7">
        <v>248563.08</v>
      </c>
      <c r="F16" s="7">
        <v>106875.35</v>
      </c>
      <c r="G16" s="7">
        <v>94212.02</v>
      </c>
      <c r="H16" s="7"/>
      <c r="I16" s="7"/>
      <c r="J16" s="7"/>
      <c r="K16" s="7"/>
      <c r="L16" s="7"/>
      <c r="M16" s="7"/>
      <c r="N16" s="64">
        <v>101460</v>
      </c>
      <c r="O16" s="7"/>
      <c r="P16" s="7">
        <f t="shared" si="0"/>
        <v>127058.17289641387</v>
      </c>
      <c r="Q16" s="7"/>
      <c r="R16" s="10"/>
    </row>
    <row r="17" spans="1:18" ht="12.75">
      <c r="A17" s="1">
        <v>6</v>
      </c>
      <c r="B17" s="7">
        <v>17152710.38999999</v>
      </c>
      <c r="C17" s="7">
        <v>5908286.109999998</v>
      </c>
      <c r="D17" s="7">
        <v>524806.08</v>
      </c>
      <c r="E17" s="7">
        <v>230455.58</v>
      </c>
      <c r="F17" s="7">
        <v>346904.2</v>
      </c>
      <c r="G17" s="7"/>
      <c r="H17" s="7"/>
      <c r="I17" s="7"/>
      <c r="J17" s="7"/>
      <c r="K17" s="7"/>
      <c r="L17" s="7"/>
      <c r="M17" s="7"/>
      <c r="N17" s="64">
        <v>94753</v>
      </c>
      <c r="O17" s="7"/>
      <c r="P17" s="7">
        <f t="shared" si="0"/>
        <v>200050.34527280752</v>
      </c>
      <c r="Q17" s="7"/>
      <c r="R17" s="10"/>
    </row>
    <row r="18" spans="1:18" ht="12.75">
      <c r="A18" s="1">
        <v>7</v>
      </c>
      <c r="B18" s="7">
        <v>16615058.660000024</v>
      </c>
      <c r="C18" s="7">
        <v>5111176.87</v>
      </c>
      <c r="D18" s="7">
        <v>553276.97</v>
      </c>
      <c r="E18" s="7">
        <v>252877.36</v>
      </c>
      <c r="F18" s="7"/>
      <c r="G18" s="7"/>
      <c r="H18" s="7"/>
      <c r="I18" s="7"/>
      <c r="J18" s="7"/>
      <c r="K18" s="7"/>
      <c r="L18" s="7"/>
      <c r="M18" s="7"/>
      <c r="N18" s="64">
        <v>92326</v>
      </c>
      <c r="O18" s="7"/>
      <c r="P18" s="7">
        <f t="shared" si="0"/>
        <v>367651.8505960015</v>
      </c>
      <c r="Q18" s="7"/>
      <c r="R18" s="10"/>
    </row>
    <row r="19" spans="1:18" ht="12.75">
      <c r="A19" s="3">
        <v>8</v>
      </c>
      <c r="B19" s="6">
        <v>16835452.940000005</v>
      </c>
      <c r="C19" s="6">
        <v>5001896.68</v>
      </c>
      <c r="D19" s="6">
        <v>489356.03</v>
      </c>
      <c r="E19" s="6"/>
      <c r="F19" s="6"/>
      <c r="G19" s="6"/>
      <c r="H19" s="6"/>
      <c r="I19" s="6"/>
      <c r="J19" s="6"/>
      <c r="K19" s="6"/>
      <c r="L19" s="6"/>
      <c r="M19" s="7"/>
      <c r="N19" s="65">
        <v>89545</v>
      </c>
      <c r="O19" s="7"/>
      <c r="P19" s="7">
        <f t="shared" si="0"/>
        <v>608009.8847894724</v>
      </c>
      <c r="Q19" s="7"/>
      <c r="R19" s="10"/>
    </row>
    <row r="20" spans="14:18" ht="12.75">
      <c r="N20" s="43"/>
      <c r="O20" s="43"/>
      <c r="P20" s="19">
        <f>SUM(P11:P19)</f>
        <v>1449959.0134988343</v>
      </c>
      <c r="Q20" s="67"/>
      <c r="R20" s="10"/>
    </row>
    <row r="21" spans="14:18" ht="12.75">
      <c r="N21" s="10"/>
      <c r="P21" s="10"/>
      <c r="Q21" s="10"/>
      <c r="R21" s="10"/>
    </row>
    <row r="22" spans="1:18" ht="12.75">
      <c r="A22" s="11" t="s">
        <v>49</v>
      </c>
      <c r="B22" s="7"/>
      <c r="C22" s="7"/>
      <c r="D22" s="7"/>
      <c r="E22" s="7"/>
      <c r="F22" s="10"/>
      <c r="G22" s="10"/>
      <c r="H22" s="10"/>
      <c r="I22" s="10"/>
      <c r="J22" s="10"/>
      <c r="K22" s="10"/>
      <c r="L22" s="10"/>
      <c r="P22" s="10"/>
      <c r="Q22" s="10"/>
      <c r="R22" s="10"/>
    </row>
    <row r="23" spans="1:18" ht="12.75">
      <c r="A23" s="8"/>
      <c r="B23" s="9">
        <v>0</v>
      </c>
      <c r="C23" s="9">
        <v>1</v>
      </c>
      <c r="D23" s="9">
        <v>2</v>
      </c>
      <c r="E23" s="9">
        <v>3</v>
      </c>
      <c r="F23" s="9">
        <v>4</v>
      </c>
      <c r="G23" s="9">
        <v>5</v>
      </c>
      <c r="H23" s="9">
        <v>6</v>
      </c>
      <c r="I23" s="9">
        <v>7</v>
      </c>
      <c r="J23" s="9">
        <v>8</v>
      </c>
      <c r="K23" s="9">
        <v>9</v>
      </c>
      <c r="L23" s="9">
        <v>10</v>
      </c>
      <c r="P23" s="10"/>
      <c r="Q23" s="10"/>
      <c r="R23" s="10"/>
    </row>
    <row r="24" spans="1:18" ht="12.75">
      <c r="A24" s="1">
        <v>0</v>
      </c>
      <c r="B24" s="7">
        <v>6229</v>
      </c>
      <c r="C24" s="7">
        <v>3500</v>
      </c>
      <c r="D24" s="7">
        <v>425</v>
      </c>
      <c r="E24" s="7">
        <v>134</v>
      </c>
      <c r="F24" s="7">
        <v>51</v>
      </c>
      <c r="G24" s="7">
        <v>24</v>
      </c>
      <c r="H24" s="7">
        <v>13</v>
      </c>
      <c r="I24" s="7">
        <v>12</v>
      </c>
      <c r="J24" s="7">
        <v>6</v>
      </c>
      <c r="K24" s="7">
        <v>4</v>
      </c>
      <c r="L24" s="7">
        <v>1</v>
      </c>
      <c r="P24" s="10"/>
      <c r="Q24" s="10"/>
      <c r="R24" s="10"/>
    </row>
    <row r="25" spans="1:18" ht="12.75">
      <c r="A25" s="1">
        <v>1</v>
      </c>
      <c r="B25" s="7">
        <v>6395</v>
      </c>
      <c r="C25" s="7">
        <v>3342</v>
      </c>
      <c r="D25" s="7">
        <v>402</v>
      </c>
      <c r="E25" s="7">
        <v>108</v>
      </c>
      <c r="F25" s="7">
        <v>31</v>
      </c>
      <c r="G25" s="7">
        <v>14</v>
      </c>
      <c r="H25" s="7">
        <v>12</v>
      </c>
      <c r="I25" s="7">
        <v>5</v>
      </c>
      <c r="J25" s="7">
        <v>6</v>
      </c>
      <c r="K25" s="7">
        <v>5</v>
      </c>
      <c r="L25" s="7"/>
      <c r="P25" s="10"/>
      <c r="Q25" s="10"/>
      <c r="R25" s="10"/>
    </row>
    <row r="26" spans="1:18" ht="12.75">
      <c r="A26" s="1">
        <v>2</v>
      </c>
      <c r="B26" s="7">
        <v>6406</v>
      </c>
      <c r="C26" s="7">
        <v>2940</v>
      </c>
      <c r="D26" s="7">
        <v>401</v>
      </c>
      <c r="E26" s="7">
        <v>98</v>
      </c>
      <c r="F26" s="7">
        <v>42</v>
      </c>
      <c r="G26" s="7">
        <v>18</v>
      </c>
      <c r="H26" s="7">
        <v>5</v>
      </c>
      <c r="I26" s="7">
        <v>3</v>
      </c>
      <c r="J26" s="7">
        <v>3</v>
      </c>
      <c r="K26" s="10"/>
      <c r="L26" s="10"/>
      <c r="P26" s="10"/>
      <c r="Q26" s="10"/>
      <c r="R26" s="10"/>
    </row>
    <row r="27" spans="1:18" ht="12.75">
      <c r="A27" s="1">
        <v>3</v>
      </c>
      <c r="B27" s="7">
        <v>6148</v>
      </c>
      <c r="C27" s="7">
        <v>2898</v>
      </c>
      <c r="D27" s="7">
        <v>301</v>
      </c>
      <c r="E27" s="7">
        <v>92</v>
      </c>
      <c r="F27" s="7">
        <v>41</v>
      </c>
      <c r="G27" s="7">
        <v>23</v>
      </c>
      <c r="H27" s="7">
        <v>12</v>
      </c>
      <c r="I27" s="7">
        <v>10</v>
      </c>
      <c r="J27" s="10"/>
      <c r="K27" s="10"/>
      <c r="L27" s="10"/>
      <c r="P27" s="10"/>
      <c r="Q27" s="10"/>
      <c r="R27" s="10"/>
    </row>
    <row r="28" spans="1:18" ht="12.75">
      <c r="A28" s="1">
        <v>4</v>
      </c>
      <c r="B28" s="7">
        <v>5952</v>
      </c>
      <c r="C28" s="7">
        <v>2699</v>
      </c>
      <c r="D28" s="7">
        <v>304</v>
      </c>
      <c r="E28" s="7">
        <v>94</v>
      </c>
      <c r="F28" s="7">
        <v>49</v>
      </c>
      <c r="G28" s="7">
        <v>22</v>
      </c>
      <c r="H28" s="7">
        <v>7</v>
      </c>
      <c r="I28" s="10"/>
      <c r="J28" s="10"/>
      <c r="K28" s="10"/>
      <c r="L28" s="10"/>
      <c r="P28" s="10"/>
      <c r="Q28" s="10"/>
      <c r="R28" s="10"/>
    </row>
    <row r="29" spans="1:18" ht="12.75">
      <c r="A29" s="1">
        <v>5</v>
      </c>
      <c r="B29" s="7">
        <v>5924</v>
      </c>
      <c r="C29" s="7">
        <v>2692</v>
      </c>
      <c r="D29" s="7">
        <v>300</v>
      </c>
      <c r="E29" s="7">
        <v>91</v>
      </c>
      <c r="F29" s="7">
        <v>32</v>
      </c>
      <c r="G29" s="7">
        <v>23</v>
      </c>
      <c r="H29" s="10"/>
      <c r="I29" s="10"/>
      <c r="J29" s="10"/>
      <c r="K29" s="10"/>
      <c r="L29" s="10"/>
      <c r="P29" s="10"/>
      <c r="Q29" s="10"/>
      <c r="R29" s="10"/>
    </row>
    <row r="30" spans="1:18" ht="12.75">
      <c r="A30" s="1">
        <v>6</v>
      </c>
      <c r="B30" s="7">
        <v>5545</v>
      </c>
      <c r="C30" s="7">
        <v>2754</v>
      </c>
      <c r="D30" s="7">
        <v>292</v>
      </c>
      <c r="E30" s="7">
        <v>77</v>
      </c>
      <c r="F30" s="7">
        <v>35</v>
      </c>
      <c r="G30" s="10"/>
      <c r="H30" s="10"/>
      <c r="I30" s="10"/>
      <c r="J30" s="10"/>
      <c r="K30" s="10"/>
      <c r="L30" s="10"/>
      <c r="P30" s="10"/>
      <c r="Q30" s="10"/>
      <c r="R30" s="10"/>
    </row>
    <row r="31" spans="1:18" ht="12.75">
      <c r="A31" s="1">
        <v>7</v>
      </c>
      <c r="B31" s="7">
        <v>5520</v>
      </c>
      <c r="C31" s="7">
        <v>2459</v>
      </c>
      <c r="D31" s="7">
        <v>267</v>
      </c>
      <c r="E31" s="7">
        <v>81</v>
      </c>
      <c r="F31" s="10"/>
      <c r="G31" s="10"/>
      <c r="H31" s="10"/>
      <c r="I31" s="10"/>
      <c r="J31" s="10"/>
      <c r="K31" s="10"/>
      <c r="L31" s="10"/>
      <c r="P31" s="10"/>
      <c r="Q31" s="10"/>
      <c r="R31" s="10"/>
    </row>
    <row r="32" spans="1:18" ht="12.75">
      <c r="A32" s="3">
        <v>8</v>
      </c>
      <c r="B32" s="6">
        <v>5390</v>
      </c>
      <c r="C32" s="6">
        <v>2224</v>
      </c>
      <c r="D32" s="6">
        <v>223</v>
      </c>
      <c r="E32" s="6"/>
      <c r="F32" s="2"/>
      <c r="G32" s="2"/>
      <c r="H32" s="2"/>
      <c r="I32" s="2"/>
      <c r="J32" s="2"/>
      <c r="K32" s="2"/>
      <c r="L32" s="2"/>
      <c r="P32" s="10"/>
      <c r="Q32" s="10"/>
      <c r="R32" s="10"/>
    </row>
    <row r="33" spans="16:18" ht="12.75">
      <c r="P33" s="10"/>
      <c r="Q33" s="10"/>
      <c r="R33" s="10"/>
    </row>
    <row r="34" spans="16:18" ht="12.75">
      <c r="P34" s="10"/>
      <c r="Q34" s="10"/>
      <c r="R34" s="10"/>
    </row>
    <row r="35" spans="1:18" ht="12.75">
      <c r="A35" s="11" t="s">
        <v>40</v>
      </c>
      <c r="P35" s="10"/>
      <c r="Q35" s="10"/>
      <c r="R35" s="10"/>
    </row>
    <row r="36" spans="1:18" ht="12.75">
      <c r="A36" s="8"/>
      <c r="B36" s="9">
        <v>0</v>
      </c>
      <c r="C36" s="9">
        <v>1</v>
      </c>
      <c r="D36" s="9">
        <v>2</v>
      </c>
      <c r="E36" s="9">
        <v>3</v>
      </c>
      <c r="F36" s="9">
        <v>4</v>
      </c>
      <c r="G36" s="9">
        <v>5</v>
      </c>
      <c r="H36" s="9">
        <v>6</v>
      </c>
      <c r="I36" s="9">
        <v>7</v>
      </c>
      <c r="J36" s="9">
        <v>8</v>
      </c>
      <c r="K36" s="9">
        <v>9</v>
      </c>
      <c r="L36" s="9">
        <v>10</v>
      </c>
      <c r="P36" s="10"/>
      <c r="Q36" s="10"/>
      <c r="R36" s="10"/>
    </row>
    <row r="37" spans="1:18" ht="12.75">
      <c r="A37" s="1">
        <v>0</v>
      </c>
      <c r="B37" s="68">
        <f aca="true" t="shared" si="1" ref="B37:L37">B11/$N11</f>
        <v>157.95163023558436</v>
      </c>
      <c r="C37" s="69">
        <f t="shared" si="1"/>
        <v>65.88964684426274</v>
      </c>
      <c r="D37" s="69">
        <f t="shared" si="1"/>
        <v>7.927305427921339</v>
      </c>
      <c r="E37" s="69">
        <f t="shared" si="1"/>
        <v>3.6098571972413307</v>
      </c>
      <c r="F37" s="69">
        <f t="shared" si="1"/>
        <v>1.833768912733615</v>
      </c>
      <c r="G37" s="69">
        <f t="shared" si="1"/>
        <v>0.5450877798730446</v>
      </c>
      <c r="H37" s="69">
        <f t="shared" si="1"/>
        <v>0.14145998778252902</v>
      </c>
      <c r="I37" s="69">
        <f t="shared" si="1"/>
        <v>0.22065850397953132</v>
      </c>
      <c r="J37" s="69">
        <f t="shared" si="1"/>
        <v>0.010946499871628023</v>
      </c>
      <c r="K37" s="69">
        <f t="shared" si="1"/>
        <v>0.1384912308659354</v>
      </c>
      <c r="L37" s="69">
        <f t="shared" si="1"/>
        <v>0.0028442803643993517</v>
      </c>
      <c r="P37" s="10"/>
      <c r="Q37" s="10"/>
      <c r="R37" s="10"/>
    </row>
    <row r="38" spans="1:18" ht="12.75">
      <c r="A38" s="1">
        <v>1</v>
      </c>
      <c r="B38" s="70">
        <f aca="true" t="shared" si="2" ref="B38:K38">B12/$N12</f>
        <v>176.8612639085208</v>
      </c>
      <c r="C38" s="44">
        <f t="shared" si="2"/>
        <v>60.31423099923884</v>
      </c>
      <c r="D38" s="44">
        <f t="shared" si="2"/>
        <v>8.530479141749122</v>
      </c>
      <c r="E38" s="44">
        <f t="shared" si="2"/>
        <v>1.408025714907035</v>
      </c>
      <c r="F38" s="44">
        <f t="shared" si="2"/>
        <v>0.6293578521981805</v>
      </c>
      <c r="G38" s="44">
        <f t="shared" si="2"/>
        <v>0.34222300750244644</v>
      </c>
      <c r="H38" s="44">
        <f t="shared" si="2"/>
        <v>0.4877672066978363</v>
      </c>
      <c r="I38" s="44">
        <f t="shared" si="2"/>
        <v>1.0093033054256824</v>
      </c>
      <c r="J38" s="44">
        <f t="shared" si="2"/>
        <v>0.3829418107353847</v>
      </c>
      <c r="K38" s="44">
        <f t="shared" si="2"/>
        <v>0.2340697147620601</v>
      </c>
      <c r="L38" s="44"/>
      <c r="P38" s="10"/>
      <c r="Q38" s="10"/>
      <c r="R38" s="10"/>
    </row>
    <row r="39" spans="1:18" ht="12.75">
      <c r="A39" s="1">
        <v>2</v>
      </c>
      <c r="B39" s="70">
        <f aca="true" t="shared" si="3" ref="B39:J39">B13/$N13</f>
        <v>189.66956375711544</v>
      </c>
      <c r="C39" s="44">
        <f t="shared" si="3"/>
        <v>60.033049051233405</v>
      </c>
      <c r="D39" s="44">
        <f t="shared" si="3"/>
        <v>10.43810863377609</v>
      </c>
      <c r="E39" s="44">
        <f t="shared" si="3"/>
        <v>2.653218216318786</v>
      </c>
      <c r="F39" s="44">
        <f t="shared" si="3"/>
        <v>1.543205882352941</v>
      </c>
      <c r="G39" s="44">
        <f t="shared" si="3"/>
        <v>0.6641366223908919</v>
      </c>
      <c r="H39" s="44">
        <f t="shared" si="3"/>
        <v>0.539634724857685</v>
      </c>
      <c r="I39" s="44">
        <f t="shared" si="3"/>
        <v>0.09374288425047439</v>
      </c>
      <c r="J39" s="44">
        <f t="shared" si="3"/>
        <v>0.18649003795066413</v>
      </c>
      <c r="K39" s="44"/>
      <c r="L39" s="44"/>
      <c r="P39" s="10"/>
      <c r="Q39" s="10"/>
      <c r="R39" s="10"/>
    </row>
    <row r="40" spans="1:18" ht="12.75">
      <c r="A40" s="1">
        <v>3</v>
      </c>
      <c r="B40" s="70">
        <f aca="true" t="shared" si="4" ref="B40:I40">B14/$N14</f>
        <v>189.14679994513398</v>
      </c>
      <c r="C40" s="44">
        <f t="shared" si="4"/>
        <v>57.705149166723736</v>
      </c>
      <c r="D40" s="44">
        <f t="shared" si="4"/>
        <v>7.769606141064203</v>
      </c>
      <c r="E40" s="44">
        <f t="shared" si="4"/>
        <v>3.027835833325169</v>
      </c>
      <c r="F40" s="44">
        <f t="shared" si="4"/>
        <v>1.4296578717900987</v>
      </c>
      <c r="G40" s="44">
        <f t="shared" si="4"/>
        <v>0.9549156926332704</v>
      </c>
      <c r="H40" s="44">
        <f t="shared" si="4"/>
        <v>0.26965826368953727</v>
      </c>
      <c r="I40" s="44">
        <f t="shared" si="4"/>
        <v>0.6066598410847777</v>
      </c>
      <c r="J40" s="44"/>
      <c r="K40" s="44"/>
      <c r="L40" s="44"/>
      <c r="P40" s="10"/>
      <c r="Q40" s="10"/>
      <c r="R40" s="10"/>
    </row>
    <row r="41" spans="1:18" ht="12.75">
      <c r="A41" s="1">
        <v>4</v>
      </c>
      <c r="B41" s="70">
        <f aca="true" t="shared" si="5" ref="B41:H41">B15/$N15</f>
        <v>184.53127224486488</v>
      </c>
      <c r="C41" s="44">
        <f t="shared" si="5"/>
        <v>58.44479994754041</v>
      </c>
      <c r="D41" s="44">
        <f t="shared" si="5"/>
        <v>6.955363988539607</v>
      </c>
      <c r="E41" s="44">
        <f t="shared" si="5"/>
        <v>2.9117680884548642</v>
      </c>
      <c r="F41" s="44">
        <f t="shared" si="5"/>
        <v>3.4555106734998584</v>
      </c>
      <c r="G41" s="44">
        <f t="shared" si="5"/>
        <v>1.1156235624066826</v>
      </c>
      <c r="H41" s="44">
        <f t="shared" si="5"/>
        <v>1.1686706549372503</v>
      </c>
      <c r="I41" s="44"/>
      <c r="J41" s="44"/>
      <c r="K41" s="44"/>
      <c r="L41" s="44"/>
      <c r="P41" s="10"/>
      <c r="Q41" s="10"/>
      <c r="R41" s="10"/>
    </row>
    <row r="42" spans="1:18" ht="12.75">
      <c r="A42" s="1">
        <v>5</v>
      </c>
      <c r="B42" s="70">
        <f aca="true" t="shared" si="6" ref="B42:G42">B16/$N16</f>
        <v>185.6152148630004</v>
      </c>
      <c r="C42" s="44">
        <f t="shared" si="6"/>
        <v>56.585979893554104</v>
      </c>
      <c r="D42" s="44">
        <f t="shared" si="6"/>
        <v>5.7342553715750055</v>
      </c>
      <c r="E42" s="44">
        <f t="shared" si="6"/>
        <v>2.4498628030751033</v>
      </c>
      <c r="F42" s="44">
        <f t="shared" si="6"/>
        <v>1.0533742361521783</v>
      </c>
      <c r="G42" s="44">
        <f t="shared" si="6"/>
        <v>0.9285631776069387</v>
      </c>
      <c r="H42" s="44"/>
      <c r="I42" s="44"/>
      <c r="J42" s="44"/>
      <c r="K42" s="44"/>
      <c r="L42" s="44"/>
      <c r="P42" s="10"/>
      <c r="Q42" s="10"/>
      <c r="R42" s="10"/>
    </row>
    <row r="43" spans="1:18" ht="12.75">
      <c r="A43" s="1">
        <v>6</v>
      </c>
      <c r="B43" s="70">
        <f>B17/$N17</f>
        <v>181.02551254313838</v>
      </c>
      <c r="C43" s="44">
        <f>C17/$N17</f>
        <v>62.35460734752459</v>
      </c>
      <c r="D43" s="44">
        <f>D17/$N17</f>
        <v>5.538675081527761</v>
      </c>
      <c r="E43" s="44">
        <f>E17/$N17</f>
        <v>2.43217185735544</v>
      </c>
      <c r="F43" s="44">
        <f>F17/$N17</f>
        <v>3.6611421274260447</v>
      </c>
      <c r="G43" s="44"/>
      <c r="H43" s="44"/>
      <c r="I43" s="44"/>
      <c r="J43" s="44"/>
      <c r="K43" s="44"/>
      <c r="L43" s="44"/>
      <c r="P43" s="10"/>
      <c r="Q43" s="10"/>
      <c r="R43" s="10"/>
    </row>
    <row r="44" spans="1:18" ht="12.75">
      <c r="A44" s="1">
        <v>7</v>
      </c>
      <c r="B44" s="70">
        <f>B18/$N18</f>
        <v>179.9607765959754</v>
      </c>
      <c r="C44" s="44">
        <f>C18/$N18</f>
        <v>55.36010300457076</v>
      </c>
      <c r="D44" s="44">
        <f>D18/$N18</f>
        <v>5.992645300348764</v>
      </c>
      <c r="E44" s="44">
        <f>E18/$N18</f>
        <v>2.738961505967983</v>
      </c>
      <c r="F44" s="44"/>
      <c r="G44" s="44"/>
      <c r="H44" s="44"/>
      <c r="I44" s="44"/>
      <c r="J44" s="44"/>
      <c r="K44" s="44"/>
      <c r="L44" s="44"/>
      <c r="P44" s="10"/>
      <c r="Q44" s="10"/>
      <c r="R44" s="10"/>
    </row>
    <row r="45" spans="1:18" ht="12.75">
      <c r="A45" s="3">
        <v>8</v>
      </c>
      <c r="B45" s="71">
        <f>B19/$N19</f>
        <v>188.01108872633876</v>
      </c>
      <c r="C45" s="50">
        <f>C19/$N19</f>
        <v>55.859028198112675</v>
      </c>
      <c r="D45" s="50">
        <f>D19/$N19</f>
        <v>5.464917415824446</v>
      </c>
      <c r="E45" s="50"/>
      <c r="F45" s="50"/>
      <c r="G45" s="50"/>
      <c r="H45" s="50"/>
      <c r="I45" s="50"/>
      <c r="J45" s="50"/>
      <c r="K45" s="50"/>
      <c r="L45" s="50"/>
      <c r="P45" s="10"/>
      <c r="Q45" s="10"/>
      <c r="R45" s="10"/>
    </row>
    <row r="46" spans="1:18" ht="12.75">
      <c r="A46" s="1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P46" s="10"/>
      <c r="Q46" s="10"/>
      <c r="R46" s="10"/>
    </row>
    <row r="47" spans="1:18" ht="12.75">
      <c r="A47" s="1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P47" s="10"/>
      <c r="Q47" s="10"/>
      <c r="R47" s="10"/>
    </row>
    <row r="48" spans="1:18" ht="12.75">
      <c r="A48" s="1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P48" s="10"/>
      <c r="Q48" s="10"/>
      <c r="R48" s="10"/>
    </row>
    <row r="49" ht="12.75"/>
    <row r="50" ht="12.75"/>
    <row r="51" spans="1:4" ht="12.75">
      <c r="A51" s="37" t="s">
        <v>18</v>
      </c>
      <c r="B51" s="38">
        <f>INDEX(B73:D73,D51)</f>
        <v>2</v>
      </c>
      <c r="D51">
        <v>1</v>
      </c>
    </row>
    <row r="52" ht="12.75">
      <c r="A52" s="36" t="s">
        <v>52</v>
      </c>
    </row>
    <row r="53" ht="12.75"/>
    <row r="54" spans="1:18" ht="12.75">
      <c r="A54" s="8"/>
      <c r="B54" s="9">
        <v>0</v>
      </c>
      <c r="C54" s="9">
        <v>1</v>
      </c>
      <c r="D54" s="9">
        <v>2</v>
      </c>
      <c r="E54" s="9">
        <v>3</v>
      </c>
      <c r="F54" s="9">
        <v>4</v>
      </c>
      <c r="G54" s="9">
        <v>5</v>
      </c>
      <c r="H54" s="9">
        <v>6</v>
      </c>
      <c r="I54" s="9">
        <v>7</v>
      </c>
      <c r="J54" s="9">
        <v>8</v>
      </c>
      <c r="K54" s="9">
        <v>9</v>
      </c>
      <c r="L54" s="9">
        <v>10</v>
      </c>
      <c r="N54" s="32" t="s">
        <v>14</v>
      </c>
      <c r="O54" s="32" t="s">
        <v>53</v>
      </c>
      <c r="P54" s="32" t="s">
        <v>54</v>
      </c>
      <c r="Q54" s="46" t="s">
        <v>25</v>
      </c>
      <c r="R54" s="46" t="s">
        <v>22</v>
      </c>
    </row>
    <row r="55" spans="1:18" ht="12.75">
      <c r="A55" s="1">
        <v>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N55" s="7">
        <f>INDEX(B$74:D$82,A55+1,D$51)</f>
        <v>27729585.680487983</v>
      </c>
      <c r="O55" s="86">
        <f aca="true" t="shared" si="7" ref="O55:O63">N55^(1-$B$51)</f>
        <v>3.606256550395029E-08</v>
      </c>
      <c r="P55" s="7">
        <f>SUM(B24:L24)</f>
        <v>10399</v>
      </c>
      <c r="Q55" s="86">
        <f>SUMPRODUCT(B11:L11,B$66:L$66,B24:L24)</f>
        <v>288359961491.39453</v>
      </c>
      <c r="R55" s="31">
        <f>P55*N55-Q55</f>
        <v>0</v>
      </c>
    </row>
    <row r="56" spans="1:18" ht="12.75">
      <c r="A56" s="1">
        <v>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15">
        <f>L$65*$N56</f>
        <v>318.71835051138055</v>
      </c>
      <c r="N56" s="7">
        <f>INDEX(B$74:D$82,A56+1,D$51)</f>
        <v>27818709.87731946</v>
      </c>
      <c r="O56" s="86">
        <f t="shared" si="7"/>
        <v>3.594703005315491E-08</v>
      </c>
      <c r="P56" s="7">
        <f aca="true" t="shared" si="8" ref="P56:P63">SUM(B25:L25)</f>
        <v>10320</v>
      </c>
      <c r="Q56" s="86">
        <f aca="true" t="shared" si="9" ref="Q56:Q63">SUMPRODUCT(B12:L12,B$66:L$66,B25:L25)</f>
        <v>287089085933.9368</v>
      </c>
      <c r="R56" s="31">
        <f aca="true" t="shared" si="10" ref="R56:R63">P56*N56-Q56</f>
        <v>0</v>
      </c>
    </row>
    <row r="57" spans="1:18" ht="12.75">
      <c r="A57" s="1">
        <v>2</v>
      </c>
      <c r="B57" s="7"/>
      <c r="C57" s="7"/>
      <c r="D57" s="7"/>
      <c r="E57" s="7"/>
      <c r="F57" s="7"/>
      <c r="G57" s="7"/>
      <c r="H57" s="7"/>
      <c r="I57" s="7"/>
      <c r="J57" s="7"/>
      <c r="K57" s="15">
        <f>K$65*$N57</f>
        <v>21703.43415513737</v>
      </c>
      <c r="L57" s="15">
        <f>L$65*$N57</f>
        <v>322.4872138887441</v>
      </c>
      <c r="N57" s="7">
        <f>INDEX(B$74:D$82,A57+1,D$51)</f>
        <v>28147667.76974677</v>
      </c>
      <c r="O57" s="86">
        <f t="shared" si="7"/>
        <v>3.552692209458306E-08</v>
      </c>
      <c r="P57" s="7">
        <f t="shared" si="8"/>
        <v>9916</v>
      </c>
      <c r="Q57" s="86">
        <f t="shared" si="9"/>
        <v>279112273604.80896</v>
      </c>
      <c r="R57" s="31">
        <f t="shared" si="10"/>
        <v>0</v>
      </c>
    </row>
    <row r="58" spans="1:18" ht="12.75">
      <c r="A58" s="1">
        <v>3</v>
      </c>
      <c r="B58" s="7"/>
      <c r="C58" s="7"/>
      <c r="D58" s="7"/>
      <c r="E58" s="7"/>
      <c r="F58" s="7"/>
      <c r="G58" s="7"/>
      <c r="H58" s="7"/>
      <c r="I58" s="7"/>
      <c r="J58" s="15">
        <f>J$65*$N58</f>
        <v>22754.896436134135</v>
      </c>
      <c r="K58" s="15">
        <f>K$65*$N58</f>
        <v>20481.51763780016</v>
      </c>
      <c r="L58" s="15">
        <f>L$65*$N58</f>
        <v>304.33098799085144</v>
      </c>
      <c r="N58" s="7">
        <f>INDEX(B$74:D$82,A58+1,D$51)</f>
        <v>26562936.988133002</v>
      </c>
      <c r="O58" s="86">
        <f t="shared" si="7"/>
        <v>3.764643948998374E-08</v>
      </c>
      <c r="P58" s="7">
        <f t="shared" si="8"/>
        <v>9525</v>
      </c>
      <c r="Q58" s="86">
        <f t="shared" si="9"/>
        <v>253011974811.96686</v>
      </c>
      <c r="R58" s="31">
        <f t="shared" si="10"/>
        <v>0</v>
      </c>
    </row>
    <row r="59" spans="1:18" ht="12.75">
      <c r="A59" s="1">
        <v>4</v>
      </c>
      <c r="B59" s="7"/>
      <c r="C59" s="7"/>
      <c r="D59" s="7"/>
      <c r="E59" s="7"/>
      <c r="F59" s="7"/>
      <c r="G59" s="7"/>
      <c r="H59" s="7"/>
      <c r="I59" s="15">
        <f>I$65*$N59</f>
        <v>39416.50449268068</v>
      </c>
      <c r="J59" s="15">
        <f>J$65*$N59</f>
        <v>21890.562570160957</v>
      </c>
      <c r="K59" s="15">
        <f>K$65*$N59</f>
        <v>19703.53697897519</v>
      </c>
      <c r="L59" s="15">
        <f>L$65*$N59</f>
        <v>292.7711208596672</v>
      </c>
      <c r="N59" s="7">
        <f>INDEX(B$74:D$82,A59+1,D$51)</f>
        <v>25553956.521753192</v>
      </c>
      <c r="O59" s="86">
        <f t="shared" si="7"/>
        <v>3.913288336186746E-08</v>
      </c>
      <c r="P59" s="7">
        <f t="shared" si="8"/>
        <v>9127</v>
      </c>
      <c r="Q59" s="86">
        <f t="shared" si="9"/>
        <v>233230961174.04138</v>
      </c>
      <c r="R59" s="31">
        <f t="shared" si="10"/>
        <v>0</v>
      </c>
    </row>
    <row r="60" spans="1:18" ht="12.75">
      <c r="A60" s="1">
        <v>5</v>
      </c>
      <c r="B60" s="7"/>
      <c r="C60" s="7"/>
      <c r="D60" s="7"/>
      <c r="E60" s="7"/>
      <c r="F60" s="7"/>
      <c r="G60" s="7"/>
      <c r="H60" s="15">
        <f>H$65*$N60</f>
        <v>45470.11700635739</v>
      </c>
      <c r="I60" s="15">
        <f>I$65*$N60</f>
        <v>39554.519908981674</v>
      </c>
      <c r="J60" s="15">
        <f>J$65*$N60</f>
        <v>21967.211556291746</v>
      </c>
      <c r="K60" s="15">
        <f>K$65*$N60</f>
        <v>19772.52817679336</v>
      </c>
      <c r="L60" s="15">
        <f>L$65*$N60</f>
        <v>293.79624798969616</v>
      </c>
      <c r="N60" s="7">
        <f>INDEX(B$74:D$82,A60+1,D$51)</f>
        <v>25643432.744794283</v>
      </c>
      <c r="O60" s="86">
        <f t="shared" si="7"/>
        <v>3.899633913883873E-08</v>
      </c>
      <c r="P60" s="7">
        <f t="shared" si="8"/>
        <v>9062</v>
      </c>
      <c r="Q60" s="86">
        <f t="shared" si="9"/>
        <v>232380787533.3258</v>
      </c>
      <c r="R60" s="31">
        <f t="shared" si="10"/>
        <v>0</v>
      </c>
    </row>
    <row r="61" spans="1:18" ht="12.75">
      <c r="A61" s="1">
        <v>6</v>
      </c>
      <c r="B61" s="7"/>
      <c r="C61" s="7"/>
      <c r="D61" s="7"/>
      <c r="E61" s="7"/>
      <c r="F61" s="7"/>
      <c r="G61" s="15">
        <f aca="true" t="shared" si="11" ref="G61:L61">G$65*$N61</f>
        <v>79378.08543986312</v>
      </c>
      <c r="H61" s="15">
        <f t="shared" si="11"/>
        <v>43184.799914436735</v>
      </c>
      <c r="I61" s="15">
        <f t="shared" si="11"/>
        <v>37566.51929754553</v>
      </c>
      <c r="J61" s="15">
        <f t="shared" si="11"/>
        <v>20863.144812315448</v>
      </c>
      <c r="K61" s="15">
        <f t="shared" si="11"/>
        <v>18778.765689078828</v>
      </c>
      <c r="L61" s="15">
        <f t="shared" si="11"/>
        <v>279.03011956783314</v>
      </c>
      <c r="N61" s="7">
        <f>INDEX(B$74:D$82,A61+1,D$51)</f>
        <v>24354600.012320723</v>
      </c>
      <c r="O61" s="86">
        <f t="shared" si="7"/>
        <v>4.106000507066883E-08</v>
      </c>
      <c r="P61" s="7">
        <f t="shared" si="8"/>
        <v>8703</v>
      </c>
      <c r="Q61" s="86">
        <f t="shared" si="9"/>
        <v>211958083907.22726</v>
      </c>
      <c r="R61" s="31">
        <f t="shared" si="10"/>
        <v>0</v>
      </c>
    </row>
    <row r="62" spans="1:18" ht="12.75">
      <c r="A62" s="1">
        <v>7</v>
      </c>
      <c r="B62" s="7"/>
      <c r="C62" s="7"/>
      <c r="D62" s="7"/>
      <c r="E62" s="7"/>
      <c r="F62" s="15">
        <f>F$65*$N62</f>
        <v>180352.84225297478</v>
      </c>
      <c r="G62" s="15">
        <f aca="true" t="shared" si="12" ref="G62:L62">G$65*$N62</f>
        <v>74318.47551564967</v>
      </c>
      <c r="H62" s="15">
        <f t="shared" si="12"/>
        <v>40432.17315339208</v>
      </c>
      <c r="I62" s="15">
        <f t="shared" si="12"/>
        <v>35172.005335628215</v>
      </c>
      <c r="J62" s="15">
        <f t="shared" si="12"/>
        <v>19533.314621051064</v>
      </c>
      <c r="K62" s="15">
        <f t="shared" si="12"/>
        <v>17581.79515598472</v>
      </c>
      <c r="L62" s="15">
        <f t="shared" si="12"/>
        <v>261.24456132091063</v>
      </c>
      <c r="N62" s="7">
        <f>INDEX(B$74:D$82,A62+1,D$51)</f>
        <v>22802222.233998742</v>
      </c>
      <c r="O62" s="86">
        <f t="shared" si="7"/>
        <v>4.385537469716318E-08</v>
      </c>
      <c r="P62" s="7">
        <f t="shared" si="8"/>
        <v>8327</v>
      </c>
      <c r="Q62" s="86">
        <f t="shared" si="9"/>
        <v>189874104542.50754</v>
      </c>
      <c r="R62" s="31">
        <f t="shared" si="10"/>
        <v>0</v>
      </c>
    </row>
    <row r="63" spans="1:18" ht="12.75">
      <c r="A63" s="3">
        <v>8</v>
      </c>
      <c r="B63" s="6"/>
      <c r="C63" s="6"/>
      <c r="D63" s="6"/>
      <c r="E63" s="14">
        <f>E$65*$N63</f>
        <v>239649.15021433547</v>
      </c>
      <c r="F63" s="14">
        <f aca="true" t="shared" si="13" ref="F63:L63">F$65*$N63</f>
        <v>180700.58765465693</v>
      </c>
      <c r="G63" s="14">
        <f t="shared" si="13"/>
        <v>74461.77188845839</v>
      </c>
      <c r="H63" s="14">
        <f t="shared" si="13"/>
        <v>40510.13201513481</v>
      </c>
      <c r="I63" s="14">
        <f t="shared" si="13"/>
        <v>35239.821861115786</v>
      </c>
      <c r="J63" s="14">
        <f t="shared" si="13"/>
        <v>19570.97757248686</v>
      </c>
      <c r="K63" s="14">
        <f t="shared" si="13"/>
        <v>17615.695306059628</v>
      </c>
      <c r="L63" s="14">
        <f t="shared" si="13"/>
        <v>261.74827722457457</v>
      </c>
      <c r="N63" s="7">
        <f>INDEX(B$74:D$82,A63+1,D$51)</f>
        <v>22846188.09464698</v>
      </c>
      <c r="O63" s="86">
        <f t="shared" si="7"/>
        <v>4.3770978154307805E-08</v>
      </c>
      <c r="P63" s="7">
        <f t="shared" si="8"/>
        <v>7837</v>
      </c>
      <c r="Q63" s="86">
        <f t="shared" si="9"/>
        <v>179045576097.74838</v>
      </c>
      <c r="R63" s="31">
        <f t="shared" si="10"/>
        <v>0</v>
      </c>
    </row>
    <row r="64" ht="12.75"/>
    <row r="65" spans="1:12" ht="12.75">
      <c r="A65" s="30" t="s">
        <v>15</v>
      </c>
      <c r="B65" s="84">
        <f>INDEX($B83:$D93,B54+1,$D51)</f>
        <v>0.7105945760364114</v>
      </c>
      <c r="C65" s="84">
        <f>INDEX($B83:$D93,C54+1,$D51)</f>
        <v>0.23378240907188463</v>
      </c>
      <c r="D65" s="84">
        <f>INDEX($B83:$D93,D54+1,$D51)</f>
        <v>0.02900982750698065</v>
      </c>
      <c r="E65" s="84">
        <f>INDEX($B83:$D93,E54+1,$D51)</f>
        <v>0.010489677718730108</v>
      </c>
      <c r="F65" s="84">
        <f>INDEX($B83:$D93,F54+1,$D51)</f>
        <v>0.007909441474702572</v>
      </c>
      <c r="G65" s="84">
        <f>INDEX($B83:$D93,G54+1,$D51)</f>
        <v>0.0032592645906607634</v>
      </c>
      <c r="H65" s="84">
        <f>INDEX($B83:$D93,H54+1,$D51)</f>
        <v>0.0017731681034625912</v>
      </c>
      <c r="I65" s="84">
        <f>INDEX($B83:$D93,I54+1,$D51)</f>
        <v>0.0015424814728445977</v>
      </c>
      <c r="J65" s="84">
        <f>INDEX($B83:$D93,J54+1,$D51)</f>
        <v>0.0008566408317837703</v>
      </c>
      <c r="K65" s="84">
        <f>INDEX($B83:$D93,K54+1,$D51)</f>
        <v>0.0007710562144144785</v>
      </c>
      <c r="L65" s="84">
        <f>INDEX($B83:$D93,L54+1,$D51)</f>
        <v>1.1456978124324557E-05</v>
      </c>
    </row>
    <row r="66" spans="1:12" ht="12.75">
      <c r="A66" s="1" t="s">
        <v>55</v>
      </c>
      <c r="B66" s="45">
        <f aca="true" t="shared" si="14" ref="B66:L66">B$65^(1-$B$51)</f>
        <v>1.4072722107982418</v>
      </c>
      <c r="C66" s="45">
        <f t="shared" si="14"/>
        <v>4.277481800149107</v>
      </c>
      <c r="D66" s="45">
        <f t="shared" si="14"/>
        <v>34.47107707756516</v>
      </c>
      <c r="E66" s="45">
        <f t="shared" si="14"/>
        <v>95.33181350409126</v>
      </c>
      <c r="F66" s="45">
        <f t="shared" si="14"/>
        <v>126.43117762466333</v>
      </c>
      <c r="G66" s="45">
        <f t="shared" si="14"/>
        <v>306.81767993474443</v>
      </c>
      <c r="H66" s="45">
        <f t="shared" si="14"/>
        <v>563.9623214782789</v>
      </c>
      <c r="I66" s="45">
        <f t="shared" si="14"/>
        <v>648.306004062292</v>
      </c>
      <c r="J66" s="45">
        <f t="shared" si="14"/>
        <v>1167.3503794089702</v>
      </c>
      <c r="K66" s="45">
        <f t="shared" si="14"/>
        <v>1296.9223012609734</v>
      </c>
      <c r="L66" s="45">
        <f t="shared" si="14"/>
        <v>87283.05048229764</v>
      </c>
    </row>
    <row r="67" spans="1:12" ht="12.75">
      <c r="A67" s="1" t="s">
        <v>56</v>
      </c>
      <c r="B67" s="62">
        <f>SUM(B24:B32)</f>
        <v>53509</v>
      </c>
      <c r="C67" s="62">
        <f aca="true" t="shared" si="15" ref="C67:L67">SUM(C24:C32)</f>
        <v>25508</v>
      </c>
      <c r="D67" s="62">
        <f t="shared" si="15"/>
        <v>2915</v>
      </c>
      <c r="E67" s="62">
        <f t="shared" si="15"/>
        <v>775</v>
      </c>
      <c r="F67" s="62">
        <f t="shared" si="15"/>
        <v>281</v>
      </c>
      <c r="G67" s="62">
        <f t="shared" si="15"/>
        <v>124</v>
      </c>
      <c r="H67" s="62">
        <f t="shared" si="15"/>
        <v>49</v>
      </c>
      <c r="I67" s="62">
        <f t="shared" si="15"/>
        <v>30</v>
      </c>
      <c r="J67" s="62">
        <f t="shared" si="15"/>
        <v>15</v>
      </c>
      <c r="K67" s="62">
        <f t="shared" si="15"/>
        <v>9</v>
      </c>
      <c r="L67" s="62">
        <f t="shared" si="15"/>
        <v>1</v>
      </c>
    </row>
    <row r="68" spans="1:12" ht="12.75">
      <c r="A68" s="48" t="s">
        <v>23</v>
      </c>
      <c r="B68" s="7">
        <f>SUMPRODUCT(B11:B19,B24:B32,$O55:$O63)</f>
        <v>38023.210081129706</v>
      </c>
      <c r="C68" s="7">
        <f aca="true" t="shared" si="16" ref="C68:L68">SUMPRODUCT(C11:C19,C24:C32,$O55:$O63)</f>
        <v>5963.3301350198535</v>
      </c>
      <c r="D68" s="7">
        <f t="shared" si="16"/>
        <v>84.54353321989818</v>
      </c>
      <c r="E68" s="7">
        <f t="shared" si="16"/>
        <v>8.18834253531275</v>
      </c>
      <c r="F68" s="7">
        <f t="shared" si="16"/>
        <v>2.2149807001452846</v>
      </c>
      <c r="G68" s="7">
        <f t="shared" si="16"/>
        <v>0.3811575571186135</v>
      </c>
      <c r="H68" s="7">
        <f t="shared" si="16"/>
        <v>0.08498223686406234</v>
      </c>
      <c r="I68" s="7">
        <f t="shared" si="16"/>
        <v>0.05517045886118903</v>
      </c>
      <c r="J68" s="7">
        <f t="shared" si="16"/>
        <v>0.011477865892059026</v>
      </c>
      <c r="K68" s="7">
        <f t="shared" si="16"/>
        <v>0.0068995816199593964</v>
      </c>
      <c r="L68" s="7">
        <f t="shared" si="16"/>
        <v>1.158582041945411E-05</v>
      </c>
    </row>
    <row r="69" spans="1:18" ht="12.75">
      <c r="A69" s="49" t="s">
        <v>22</v>
      </c>
      <c r="B69" s="29">
        <f>B67*B65-B68</f>
        <v>-0.0049119973700726405</v>
      </c>
      <c r="C69" s="29">
        <f aca="true" t="shared" si="17" ref="C69:L69">C67*C65-C68</f>
        <v>-0.00844441422032105</v>
      </c>
      <c r="D69" s="29">
        <f t="shared" si="17"/>
        <v>0.02011396295041834</v>
      </c>
      <c r="E69" s="29">
        <f t="shared" si="17"/>
        <v>-0.05884230329691498</v>
      </c>
      <c r="F69" s="29">
        <f t="shared" si="17"/>
        <v>0.007572354246138335</v>
      </c>
      <c r="G69" s="29">
        <f t="shared" si="17"/>
        <v>0.02299125212332115</v>
      </c>
      <c r="H69" s="29">
        <f t="shared" si="17"/>
        <v>0.0019030002056046325</v>
      </c>
      <c r="I69" s="29">
        <f t="shared" si="17"/>
        <v>-0.008896014675851098</v>
      </c>
      <c r="J69" s="29">
        <f t="shared" si="17"/>
        <v>0.0013717465846975283</v>
      </c>
      <c r="K69" s="29">
        <f t="shared" si="17"/>
        <v>3.9924309770909654E-05</v>
      </c>
      <c r="L69" s="29">
        <f t="shared" si="17"/>
        <v>-1.28842295129553E-07</v>
      </c>
      <c r="Q69" s="11" t="s">
        <v>26</v>
      </c>
      <c r="R69" s="82">
        <f>SUMPRODUCT(R55:R63,R55:R63)+SUMPRODUCT(B69:K69,B69:K69)</f>
        <v>0.004633006005110652</v>
      </c>
    </row>
    <row r="73" spans="1:4" ht="12.75">
      <c r="A73" s="30" t="s">
        <v>31</v>
      </c>
      <c r="B73" s="9">
        <v>2</v>
      </c>
      <c r="C73" s="10"/>
      <c r="D73" s="10"/>
    </row>
    <row r="74" spans="1:4" ht="12.75">
      <c r="A74" s="75" t="s">
        <v>14</v>
      </c>
      <c r="B74" s="7">
        <v>27729585.680487983</v>
      </c>
      <c r="C74" s="7"/>
      <c r="D74" s="7"/>
    </row>
    <row r="75" spans="1:4" ht="12.75">
      <c r="A75" s="76"/>
      <c r="B75" s="7">
        <v>27818709.87731946</v>
      </c>
      <c r="C75" s="7"/>
      <c r="D75" s="7"/>
    </row>
    <row r="76" spans="1:4" ht="12.75">
      <c r="A76" s="76"/>
      <c r="B76" s="7">
        <v>28147667.76974677</v>
      </c>
      <c r="C76" s="7"/>
      <c r="D76" s="7"/>
    </row>
    <row r="77" spans="1:4" ht="12.75">
      <c r="A77" s="76"/>
      <c r="B77" s="7">
        <v>26562936.988133002</v>
      </c>
      <c r="C77" s="7"/>
      <c r="D77" s="7"/>
    </row>
    <row r="78" spans="1:4" ht="12.75">
      <c r="A78" s="76"/>
      <c r="B78" s="7">
        <v>25553956.521753192</v>
      </c>
      <c r="C78" s="7"/>
      <c r="D78" s="7"/>
    </row>
    <row r="79" spans="1:4" ht="12.75">
      <c r="A79" s="76"/>
      <c r="B79" s="7">
        <v>25643432.744794283</v>
      </c>
      <c r="C79" s="7"/>
      <c r="D79" s="7"/>
    </row>
    <row r="80" spans="1:4" ht="12.75">
      <c r="A80" s="76"/>
      <c r="B80" s="7">
        <v>24354600.012320723</v>
      </c>
      <c r="C80" s="7"/>
      <c r="D80" s="7"/>
    </row>
    <row r="81" spans="1:4" ht="12.75">
      <c r="A81" s="76"/>
      <c r="B81" s="7">
        <v>22802222.233998742</v>
      </c>
      <c r="C81" s="7"/>
      <c r="D81" s="7"/>
    </row>
    <row r="82" spans="1:4" ht="12.75">
      <c r="A82" s="77"/>
      <c r="B82" s="12">
        <v>22846188.09464698</v>
      </c>
      <c r="C82" s="7"/>
      <c r="D82" s="7"/>
    </row>
    <row r="83" spans="1:4" ht="12.75">
      <c r="A83" s="78" t="s">
        <v>15</v>
      </c>
      <c r="B83" s="72">
        <v>0.7105945760364114</v>
      </c>
      <c r="C83" s="85"/>
      <c r="D83" s="85"/>
    </row>
    <row r="84" spans="1:4" ht="12.75">
      <c r="A84" s="78"/>
      <c r="B84" s="72">
        <v>0.23378240907188463</v>
      </c>
      <c r="C84" s="85"/>
      <c r="D84" s="85"/>
    </row>
    <row r="85" spans="1:4" ht="12.75">
      <c r="A85" s="79"/>
      <c r="B85" s="72">
        <v>0.02900982750698065</v>
      </c>
      <c r="C85" s="85"/>
      <c r="D85" s="85"/>
    </row>
    <row r="86" spans="1:4" ht="12.75">
      <c r="A86" s="79"/>
      <c r="B86" s="72">
        <v>0.010489677718730108</v>
      </c>
      <c r="C86" s="85"/>
      <c r="D86" s="85"/>
    </row>
    <row r="87" spans="1:4" ht="12.75">
      <c r="A87" s="79"/>
      <c r="B87" s="72">
        <v>0.007909441474702572</v>
      </c>
      <c r="C87" s="85"/>
      <c r="D87" s="85"/>
    </row>
    <row r="88" spans="1:4" ht="12.75">
      <c r="A88" s="79"/>
      <c r="B88" s="72">
        <v>0.0032592645906607634</v>
      </c>
      <c r="C88" s="85"/>
      <c r="D88" s="85"/>
    </row>
    <row r="89" spans="1:4" ht="12.75">
      <c r="A89" s="79"/>
      <c r="B89" s="72">
        <v>0.0017731681034625912</v>
      </c>
      <c r="C89" s="85"/>
      <c r="D89" s="85"/>
    </row>
    <row r="90" spans="1:4" ht="12.75">
      <c r="A90" s="79"/>
      <c r="B90" s="72">
        <v>0.0015424814728445977</v>
      </c>
      <c r="C90" s="85"/>
      <c r="D90" s="85"/>
    </row>
    <row r="91" spans="1:4" ht="12.75">
      <c r="A91" s="79"/>
      <c r="B91" s="72">
        <v>0.0008566408317837703</v>
      </c>
      <c r="C91" s="85"/>
      <c r="D91" s="85"/>
    </row>
    <row r="92" spans="1:4" ht="12.75">
      <c r="A92" s="79"/>
      <c r="B92" s="72">
        <v>0.0007710562144144785</v>
      </c>
      <c r="C92" s="85"/>
      <c r="D92" s="85"/>
    </row>
    <row r="93" spans="1:4" ht="12.75">
      <c r="A93" s="80"/>
      <c r="B93" s="74">
        <v>1.1456978124324557E-05</v>
      </c>
      <c r="C93" s="85"/>
      <c r="D93" s="85"/>
    </row>
    <row r="94" spans="3:4" ht="12.75">
      <c r="C94" s="10"/>
      <c r="D94" s="10"/>
    </row>
    <row r="95" spans="3:4" ht="12.75">
      <c r="C95" s="10"/>
      <c r="D95" s="10"/>
    </row>
  </sheetData>
  <conditionalFormatting sqref="N16">
    <cfRule type="expression" priority="1" dxfId="0" stopIfTrue="1">
      <formula>Month&lt;&gt;"12"</formula>
    </cfRule>
  </conditionalFormatting>
  <printOptions/>
  <pageMargins left="0.75" right="0.75" top="1" bottom="1" header="0.5" footer="0.5"/>
  <pageSetup horizontalDpi="1200" verticalDpi="1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 illustative purposes only</dc:creator>
  <cp:keywords/>
  <dc:description/>
  <cp:lastModifiedBy>garvald</cp:lastModifiedBy>
  <cp:lastPrinted>2005-10-04T08:02:31Z</cp:lastPrinted>
  <dcterms:created xsi:type="dcterms:W3CDTF">2005-10-03T08:05:38Z</dcterms:created>
  <dcterms:modified xsi:type="dcterms:W3CDTF">2009-07-23T13:12:36Z</dcterms:modified>
  <cp:category/>
  <cp:version/>
  <cp:contentType/>
  <cp:contentStatus/>
</cp:coreProperties>
</file>