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420" windowHeight="7050" activeTab="0"/>
  </bookViews>
  <sheets>
    <sheet name="Ex 3.7 (Parameters)" sheetId="1" r:id="rId1"/>
    <sheet name="Ex 3.7 (Process Error)" sheetId="2" r:id="rId2"/>
    <sheet name="Ex 3.7 (Estimation Error BBMW)" sheetId="3" r:id="rId3"/>
    <sheet name="Ex 3.7 (Estimation Error Mack)" sheetId="4" r:id="rId4"/>
  </sheets>
  <definedNames>
    <definedName name="_xlnm.Print_Area" localSheetId="0">'Ex 3.7 (Parameters)'!$A$1:$K$28</definedName>
  </definedNames>
  <calcPr fullCalcOnLoad="1"/>
</workbook>
</file>

<file path=xl/comments1.xml><?xml version="1.0" encoding="utf-8"?>
<comments xmlns="http://schemas.openxmlformats.org/spreadsheetml/2006/main">
  <authors>
    <author>garvald</author>
  </authors>
  <commentList>
    <comment ref="J28" authorId="0">
      <text>
        <r>
          <rPr>
            <b/>
            <sz val="8"/>
            <rFont val="Tahoma"/>
            <family val="0"/>
          </rPr>
          <t>formula (3.13)</t>
        </r>
      </text>
    </comment>
  </commentList>
</comments>
</file>

<file path=xl/sharedStrings.xml><?xml version="1.0" encoding="utf-8"?>
<sst xmlns="http://schemas.openxmlformats.org/spreadsheetml/2006/main" count="111" uniqueCount="52">
  <si>
    <t>cumulative payments</t>
  </si>
  <si>
    <t>Disclaimer.</t>
  </si>
  <si>
    <t>We accept no liability for any loss or damage as a result of the use of any form of this spreadsheet or its contents.</t>
  </si>
  <si>
    <t>sum column</t>
  </si>
  <si>
    <t>diag payments</t>
  </si>
  <si>
    <t>est. CL factor</t>
  </si>
  <si>
    <t>predicted cumulative payments</t>
  </si>
  <si>
    <t>diag</t>
  </si>
  <si>
    <t>payments</t>
  </si>
  <si>
    <t>ultimate</t>
  </si>
  <si>
    <t>claim pred</t>
  </si>
  <si>
    <t>CL</t>
  </si>
  <si>
    <t>reserves</t>
  </si>
  <si>
    <t>total</t>
  </si>
  <si>
    <t>individual CL factors</t>
  </si>
  <si>
    <t>number of obs</t>
  </si>
  <si>
    <t>est sigma</t>
  </si>
  <si>
    <t>sqrt(total)</t>
  </si>
  <si>
    <t>process</t>
  </si>
  <si>
    <t>std. dev</t>
  </si>
  <si>
    <t>vco</t>
  </si>
  <si>
    <t>Example 3.7 (CL method conditional process variance)</t>
  </si>
  <si>
    <t>Example 3.7 (CL method parameter estimation)</t>
  </si>
  <si>
    <t>ideal, this calculations are implemented in Visual Basic or R</t>
  </si>
  <si>
    <t>volume</t>
  </si>
  <si>
    <t>auxiliary calculation conditional process variance</t>
  </si>
  <si>
    <t>auxiliary calculations for sigma estimation</t>
  </si>
  <si>
    <t>auxiliary calculation estimation error BBMW</t>
  </si>
  <si>
    <t>factor 1</t>
  </si>
  <si>
    <t>factor 1 product</t>
  </si>
  <si>
    <t>factor 2 product</t>
  </si>
  <si>
    <t>difference</t>
  </si>
  <si>
    <t>sqrt(difference)</t>
  </si>
  <si>
    <t>covariance term BBMW</t>
  </si>
  <si>
    <t>cov term</t>
  </si>
  <si>
    <t>est. error</t>
  </si>
  <si>
    <t>msep^ (1/2)</t>
  </si>
  <si>
    <t>BBMW</t>
  </si>
  <si>
    <t>ultimate claims</t>
  </si>
  <si>
    <t>factors</t>
  </si>
  <si>
    <t>ultimates</t>
  </si>
  <si>
    <t>Example 3.7 (CL method estimation error conditional resampling according to Mack 1993)</t>
  </si>
  <si>
    <t>sum terms</t>
  </si>
  <si>
    <t>terms</t>
  </si>
  <si>
    <t>Mack</t>
  </si>
  <si>
    <t>auxiliary calculation estimation error Mack</t>
  </si>
  <si>
    <t>covariance term Mack</t>
  </si>
  <si>
    <t>Result from Table 3.5 (Estimator 3.16)</t>
  </si>
  <si>
    <t>Result from Tables 3.4 and 3.6 (Estimator 3.14)</t>
  </si>
  <si>
    <t>Example 3.7 (CL method estimation error conditional resampling according to BBMW 2006b)</t>
  </si>
  <si>
    <t>This example is for illustrative purposes only and not for professional use.</t>
  </si>
  <si>
    <t>© 2009, Wüthrich-Merz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</si>
</sst>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%"/>
    <numFmt numFmtId="168" formatCode="0.0"/>
    <numFmt numFmtId="169" formatCode="_ * #,##0.0_ ;_ * \-#,##0.0_ ;_ * &quot;-&quot;??_ ;_ @_ "/>
    <numFmt numFmtId="170" formatCode="_ * #,##0_ ;_ * \-#,##0_ ;_ * &quot;-&quot;??_ ;_ @_ "/>
    <numFmt numFmtId="171" formatCode="#,##0.0"/>
    <numFmt numFmtId="172" formatCode="#,##0.000"/>
    <numFmt numFmtId="173" formatCode="#,##0.0000"/>
    <numFmt numFmtId="174" formatCode="0.000%"/>
    <numFmt numFmtId="175" formatCode="0.0000%"/>
    <numFmt numFmtId="176" formatCode="0.00000%"/>
    <numFmt numFmtId="177" formatCode="0.000000%"/>
    <numFmt numFmtId="178" formatCode="#,##0.00;\-#,##0.00;0.00;@"/>
    <numFmt numFmtId="179" formatCode="0.0000000"/>
    <numFmt numFmtId="180" formatCode="0.000000"/>
    <numFmt numFmtId="181" formatCode="#,##0.00000"/>
    <numFmt numFmtId="182" formatCode="0.000E+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6" xfId="0" applyNumberFormat="1" applyBorder="1" applyAlignment="1">
      <alignment/>
    </xf>
    <xf numFmtId="0" fontId="0" fillId="0" borderId="0" xfId="0" applyFont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7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8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173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2" xfId="0" applyNumberFormat="1" applyFill="1" applyBorder="1" applyAlignment="1">
      <alignment/>
    </xf>
    <xf numFmtId="182" fontId="0" fillId="0" borderId="2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1" fontId="0" fillId="0" borderId="0" xfId="0" applyNumberFormat="1" applyBorder="1" applyAlignment="1">
      <alignment/>
    </xf>
    <xf numFmtId="11" fontId="0" fillId="0" borderId="2" xfId="0" applyNumberFormat="1" applyBorder="1" applyAlignment="1">
      <alignment/>
    </xf>
    <xf numFmtId="167" fontId="0" fillId="0" borderId="0" xfId="19" applyNumberFormat="1" applyBorder="1" applyAlignment="1">
      <alignment/>
    </xf>
    <xf numFmtId="167" fontId="2" fillId="0" borderId="5" xfId="19" applyNumberFormat="1" applyFont="1" applyBorder="1" applyAlignment="1">
      <alignment/>
    </xf>
    <xf numFmtId="167" fontId="0" fillId="0" borderId="0" xfId="19" applyNumberFormat="1" applyBorder="1" applyAlignment="1">
      <alignment/>
    </xf>
    <xf numFmtId="3" fontId="0" fillId="0" borderId="5" xfId="0" applyNumberForma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3"/>
  <sheetViews>
    <sheetView tabSelected="1" zoomScale="75" zoomScaleNormal="75" workbookViewId="0" topLeftCell="A1">
      <selection activeCell="A1" sqref="A1:K28"/>
    </sheetView>
  </sheetViews>
  <sheetFormatPr defaultColWidth="9.140625" defaultRowHeight="12.75"/>
  <cols>
    <col min="1" max="1" width="15.421875" style="0" customWidth="1"/>
    <col min="2" max="15" width="10.7109375" style="0" customWidth="1"/>
  </cols>
  <sheetData>
    <row r="1" spans="1:2" ht="12.75">
      <c r="A1" s="11" t="s">
        <v>1</v>
      </c>
      <c r="B1" s="11"/>
    </row>
    <row r="2" s="13" customFormat="1" ht="12.75" customHeight="1">
      <c r="A2" s="13" t="s">
        <v>50</v>
      </c>
    </row>
    <row r="3" s="13" customFormat="1" ht="12.75" customHeight="1">
      <c r="A3" s="13" t="s">
        <v>2</v>
      </c>
    </row>
    <row r="4" s="13" customFormat="1" ht="12.75" customHeight="1">
      <c r="A4" t="s">
        <v>51</v>
      </c>
    </row>
    <row r="5" s="13" customFormat="1" ht="12.75"/>
    <row r="6" ht="15.75">
      <c r="A6" s="4" t="s">
        <v>22</v>
      </c>
    </row>
    <row r="7" ht="12.75">
      <c r="A7" t="s">
        <v>23</v>
      </c>
    </row>
    <row r="9" ht="12.75">
      <c r="A9" s="11" t="s">
        <v>0</v>
      </c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"/>
      <c r="B11" s="2">
        <v>0</v>
      </c>
      <c r="C11" s="2">
        <f aca="true" t="shared" si="0" ref="C11:K11">B11+1</f>
        <v>1</v>
      </c>
      <c r="D11" s="2">
        <f t="shared" si="0"/>
        <v>2</v>
      </c>
      <c r="E11" s="2">
        <f t="shared" si="0"/>
        <v>3</v>
      </c>
      <c r="F11" s="2">
        <f t="shared" si="0"/>
        <v>4</v>
      </c>
      <c r="G11" s="2">
        <f t="shared" si="0"/>
        <v>5</v>
      </c>
      <c r="H11" s="2">
        <f t="shared" si="0"/>
        <v>6</v>
      </c>
      <c r="I11" s="2">
        <f t="shared" si="0"/>
        <v>7</v>
      </c>
      <c r="J11" s="2">
        <f t="shared" si="0"/>
        <v>8</v>
      </c>
      <c r="K11" s="2">
        <f t="shared" si="0"/>
        <v>9</v>
      </c>
    </row>
    <row r="12" spans="1:11" ht="12.75">
      <c r="A12" s="1">
        <v>0</v>
      </c>
      <c r="B12" s="5">
        <v>5946975.449999999</v>
      </c>
      <c r="C12" s="5">
        <v>9668212.035</v>
      </c>
      <c r="D12" s="5">
        <v>10563929.325</v>
      </c>
      <c r="E12" s="5">
        <v>10771689.655</v>
      </c>
      <c r="F12" s="5">
        <v>10978393.645</v>
      </c>
      <c r="G12" s="5">
        <v>11040517.795</v>
      </c>
      <c r="H12" s="5">
        <v>11106331.215</v>
      </c>
      <c r="I12" s="5">
        <v>11121180.875</v>
      </c>
      <c r="J12" s="5">
        <v>11132310.405</v>
      </c>
      <c r="K12" s="5">
        <v>11148123.825</v>
      </c>
    </row>
    <row r="13" spans="1:11" ht="12.75">
      <c r="A13" s="1">
        <f aca="true" t="shared" si="1" ref="A13:A21">A12+1</f>
        <v>1</v>
      </c>
      <c r="B13" s="5">
        <v>6346756.121088335</v>
      </c>
      <c r="C13" s="5">
        <v>9593161.71022243</v>
      </c>
      <c r="D13" s="5">
        <v>10316383.455589319</v>
      </c>
      <c r="E13" s="5">
        <v>10468180.234918753</v>
      </c>
      <c r="F13" s="5">
        <v>10536004.327810626</v>
      </c>
      <c r="G13" s="5">
        <v>10572607.806514177</v>
      </c>
      <c r="H13" s="5">
        <v>10625359.878763413</v>
      </c>
      <c r="I13" s="5">
        <v>10636546.271505505</v>
      </c>
      <c r="J13" s="5">
        <v>10648191.800681584</v>
      </c>
      <c r="K13" s="5"/>
    </row>
    <row r="14" spans="1:11" ht="12.75">
      <c r="A14" s="1">
        <f t="shared" si="1"/>
        <v>2</v>
      </c>
      <c r="B14" s="5">
        <v>6269090.211232325</v>
      </c>
      <c r="C14" s="5">
        <v>9245313.272709705</v>
      </c>
      <c r="D14" s="5">
        <v>10092365.968752814</v>
      </c>
      <c r="E14" s="5">
        <v>10355134.288356848</v>
      </c>
      <c r="F14" s="5">
        <v>10507837.38729655</v>
      </c>
      <c r="G14" s="5">
        <v>10573281.572556423</v>
      </c>
      <c r="H14" s="5">
        <v>10626826.815041773</v>
      </c>
      <c r="I14" s="5">
        <v>10635751.022122664</v>
      </c>
      <c r="J14" s="5"/>
      <c r="K14" s="5"/>
    </row>
    <row r="15" spans="1:11" ht="12.75">
      <c r="A15" s="1">
        <f t="shared" si="1"/>
        <v>3</v>
      </c>
      <c r="B15" s="5">
        <v>5863014.807540223</v>
      </c>
      <c r="C15" s="5">
        <v>8546239.11002354</v>
      </c>
      <c r="D15" s="5">
        <v>9268770.831745785</v>
      </c>
      <c r="E15" s="5">
        <v>9459423.557167532</v>
      </c>
      <c r="F15" s="5">
        <v>9592399.150740609</v>
      </c>
      <c r="G15" s="5">
        <v>9680739.580037408</v>
      </c>
      <c r="H15" s="5">
        <v>9724068.209757265</v>
      </c>
      <c r="I15" s="5"/>
      <c r="J15" s="5"/>
      <c r="K15" s="5"/>
    </row>
    <row r="16" spans="1:11" ht="12.75">
      <c r="A16" s="1">
        <f t="shared" si="1"/>
        <v>4</v>
      </c>
      <c r="B16" s="5">
        <v>5778885.359646133</v>
      </c>
      <c r="C16" s="5">
        <v>8524114.268910643</v>
      </c>
      <c r="D16" s="5">
        <v>9178008.629228268</v>
      </c>
      <c r="E16" s="5">
        <v>9451404.116085205</v>
      </c>
      <c r="F16" s="5">
        <v>9681691.672127554</v>
      </c>
      <c r="G16" s="5">
        <v>9786916.051948782</v>
      </c>
      <c r="H16" s="5"/>
      <c r="I16" s="5"/>
      <c r="J16" s="5"/>
      <c r="K16" s="5"/>
    </row>
    <row r="17" spans="1:11" ht="12.75">
      <c r="A17" s="1">
        <f t="shared" si="1"/>
        <v>5</v>
      </c>
      <c r="B17" s="5">
        <v>6184793.399572363</v>
      </c>
      <c r="C17" s="5">
        <v>9013131.87453573</v>
      </c>
      <c r="D17" s="5">
        <v>9585896.654940045</v>
      </c>
      <c r="E17" s="5">
        <v>9830796.08111641</v>
      </c>
      <c r="F17" s="5">
        <v>9935752.978049139</v>
      </c>
      <c r="G17" s="5"/>
      <c r="H17" s="5"/>
      <c r="I17" s="5"/>
      <c r="J17" s="5"/>
      <c r="K17" s="5"/>
    </row>
    <row r="18" spans="1:11" ht="12.75">
      <c r="A18" s="1">
        <f t="shared" si="1"/>
        <v>6</v>
      </c>
      <c r="B18" s="5">
        <v>5600184.39631737</v>
      </c>
      <c r="C18" s="5">
        <v>8493391.299402948</v>
      </c>
      <c r="D18" s="5">
        <v>9056505.210042793</v>
      </c>
      <c r="E18" s="5">
        <v>9282022.219649784</v>
      </c>
      <c r="F18" s="5"/>
      <c r="G18" s="5"/>
      <c r="H18" s="5"/>
      <c r="I18" s="5"/>
      <c r="J18" s="5"/>
      <c r="K18" s="5"/>
    </row>
    <row r="19" spans="1:11" ht="12.75">
      <c r="A19" s="1">
        <f t="shared" si="1"/>
        <v>7</v>
      </c>
      <c r="B19" s="5">
        <v>5288065.615019468</v>
      </c>
      <c r="C19" s="5">
        <v>7728168.797233385</v>
      </c>
      <c r="D19" s="5">
        <v>8256211.357257279</v>
      </c>
      <c r="E19" s="5"/>
      <c r="F19" s="5"/>
      <c r="G19" s="5"/>
      <c r="H19" s="5"/>
      <c r="I19" s="5"/>
      <c r="J19" s="5"/>
      <c r="K19" s="5"/>
    </row>
    <row r="20" spans="1:11" ht="12.75">
      <c r="A20" s="1">
        <f t="shared" si="1"/>
        <v>8</v>
      </c>
      <c r="B20" s="5">
        <v>5290792.945441608</v>
      </c>
      <c r="C20" s="5">
        <v>7648728.911074035</v>
      </c>
      <c r="D20" s="5"/>
      <c r="E20" s="5"/>
      <c r="F20" s="5"/>
      <c r="G20" s="5"/>
      <c r="H20" s="5"/>
      <c r="I20" s="5"/>
      <c r="J20" s="5"/>
      <c r="K20" s="5"/>
    </row>
    <row r="21" spans="1:11" ht="12.75">
      <c r="A21" s="3">
        <f t="shared" si="1"/>
        <v>9</v>
      </c>
      <c r="B21" s="12">
        <v>5675568.139045331</v>
      </c>
      <c r="C21" s="6"/>
      <c r="D21" s="6"/>
      <c r="E21" s="6"/>
      <c r="F21" s="6"/>
      <c r="G21" s="6"/>
      <c r="H21" s="6"/>
      <c r="I21" s="6"/>
      <c r="J21" s="6"/>
      <c r="K21" s="6"/>
    </row>
    <row r="24" spans="1:11" ht="12.75">
      <c r="A24" s="21" t="s">
        <v>3</v>
      </c>
      <c r="B24" s="18">
        <f>SUM(B12:B21)</f>
        <v>58244126.44490316</v>
      </c>
      <c r="C24" s="18">
        <f aca="true" t="shared" si="2" ref="C24:K24">SUM(C12:C21)</f>
        <v>78460461.27911243</v>
      </c>
      <c r="D24" s="18">
        <f t="shared" si="2"/>
        <v>76318071.4325563</v>
      </c>
      <c r="E24" s="18">
        <f t="shared" si="2"/>
        <v>69618650.15229452</v>
      </c>
      <c r="F24" s="18">
        <f t="shared" si="2"/>
        <v>61232079.16102447</v>
      </c>
      <c r="G24" s="18">
        <f t="shared" si="2"/>
        <v>51654062.80605678</v>
      </c>
      <c r="H24" s="18">
        <f t="shared" si="2"/>
        <v>42082586.118562445</v>
      </c>
      <c r="I24" s="18">
        <f t="shared" si="2"/>
        <v>32393478.16862817</v>
      </c>
      <c r="J24" s="18">
        <f t="shared" si="2"/>
        <v>21780502.205681585</v>
      </c>
      <c r="K24" s="18">
        <f t="shared" si="2"/>
        <v>11148123.825</v>
      </c>
    </row>
    <row r="25" spans="1:11" ht="12.75">
      <c r="A25" s="1" t="s">
        <v>4</v>
      </c>
      <c r="B25" s="7">
        <f>INDEX(B12:B21,$A21-B11+1)</f>
        <v>5675568.139045331</v>
      </c>
      <c r="C25" s="7">
        <f aca="true" t="shared" si="3" ref="C25:K25">INDEX(C12:C21,$A21-C11+1)</f>
        <v>7648728.911074035</v>
      </c>
      <c r="D25" s="7">
        <f t="shared" si="3"/>
        <v>8256211.357257279</v>
      </c>
      <c r="E25" s="7">
        <f t="shared" si="3"/>
        <v>9282022.219649784</v>
      </c>
      <c r="F25" s="7">
        <f t="shared" si="3"/>
        <v>9935752.978049139</v>
      </c>
      <c r="G25" s="7">
        <f t="shared" si="3"/>
        <v>9786916.051948782</v>
      </c>
      <c r="H25" s="7">
        <f t="shared" si="3"/>
        <v>9724068.209757265</v>
      </c>
      <c r="I25" s="7">
        <f t="shared" si="3"/>
        <v>10635751.022122664</v>
      </c>
      <c r="J25" s="7">
        <f t="shared" si="3"/>
        <v>10648191.800681584</v>
      </c>
      <c r="K25" s="7">
        <f t="shared" si="3"/>
        <v>11148123.825</v>
      </c>
    </row>
    <row r="26" spans="1:10" s="10" customFormat="1" ht="12.75">
      <c r="A26" s="1" t="s">
        <v>5</v>
      </c>
      <c r="B26" s="22">
        <f>C24/(B24-B25)</f>
        <v>1.4925359151492918</v>
      </c>
      <c r="C26" s="22">
        <f aca="true" t="shared" si="4" ref="C26:J26">D24/(C24-C25)</f>
        <v>1.0777602648654203</v>
      </c>
      <c r="D26" s="22">
        <f t="shared" si="4"/>
        <v>1.0228731638434971</v>
      </c>
      <c r="E26" s="22">
        <f t="shared" si="4"/>
        <v>1.0148409226544672</v>
      </c>
      <c r="F26" s="22">
        <f t="shared" si="4"/>
        <v>1.0069739228849526</v>
      </c>
      <c r="G26" s="22">
        <f t="shared" si="4"/>
        <v>1.005145785685367</v>
      </c>
      <c r="H26" s="22">
        <f t="shared" si="4"/>
        <v>1.0010804036180372</v>
      </c>
      <c r="I26" s="22">
        <f t="shared" si="4"/>
        <v>1.0010467572749087</v>
      </c>
      <c r="J26" s="22">
        <f t="shared" si="4"/>
        <v>1.001420497580888</v>
      </c>
    </row>
    <row r="27" spans="1:11" s="10" customFormat="1" ht="12.75">
      <c r="A27" s="26" t="s">
        <v>15</v>
      </c>
      <c r="B27" s="10">
        <f>COUNT(B12:B21)</f>
        <v>10</v>
      </c>
      <c r="C27" s="10">
        <f aca="true" t="shared" si="5" ref="C27:K27">COUNT(C12:C21)</f>
        <v>9</v>
      </c>
      <c r="D27" s="10">
        <f t="shared" si="5"/>
        <v>8</v>
      </c>
      <c r="E27" s="10">
        <f t="shared" si="5"/>
        <v>7</v>
      </c>
      <c r="F27" s="10">
        <f t="shared" si="5"/>
        <v>6</v>
      </c>
      <c r="G27" s="10">
        <f t="shared" si="5"/>
        <v>5</v>
      </c>
      <c r="H27" s="10">
        <f t="shared" si="5"/>
        <v>4</v>
      </c>
      <c r="I27" s="10">
        <f t="shared" si="5"/>
        <v>3</v>
      </c>
      <c r="J27" s="10">
        <f t="shared" si="5"/>
        <v>2</v>
      </c>
      <c r="K27" s="10">
        <f t="shared" si="5"/>
        <v>1</v>
      </c>
    </row>
    <row r="28" spans="1:11" ht="12.75">
      <c r="A28" s="27" t="s">
        <v>16</v>
      </c>
      <c r="B28" s="25">
        <f>(SUM(B64:B72)/(C27-1))^(1/2)</f>
        <v>135.25286688404614</v>
      </c>
      <c r="C28" s="25">
        <f aca="true" t="shared" si="6" ref="C28:I28">(SUM(C64:C72)/(D27-1))^(1/2)</f>
        <v>33.802840301703164</v>
      </c>
      <c r="D28" s="25">
        <f t="shared" si="6"/>
        <v>15.759711175774129</v>
      </c>
      <c r="E28" s="25">
        <f t="shared" si="6"/>
        <v>19.846603155035172</v>
      </c>
      <c r="F28" s="25">
        <f t="shared" si="6"/>
        <v>9.336247768642979</v>
      </c>
      <c r="G28" s="25">
        <f t="shared" si="6"/>
        <v>2.0011135517513114</v>
      </c>
      <c r="H28" s="25">
        <f t="shared" si="6"/>
        <v>0.8230718545861337</v>
      </c>
      <c r="I28" s="25">
        <f t="shared" si="6"/>
        <v>0.219432734247422</v>
      </c>
      <c r="J28" s="25">
        <f>MIN(I28,H28,I28^2/H28)</f>
        <v>0.05850124091961741</v>
      </c>
      <c r="K28" s="2"/>
    </row>
    <row r="30" ht="12.75">
      <c r="A30" s="11" t="s">
        <v>6</v>
      </c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M31" s="16" t="s">
        <v>7</v>
      </c>
      <c r="N31" s="16" t="s">
        <v>9</v>
      </c>
      <c r="O31" s="16" t="s">
        <v>11</v>
      </c>
    </row>
    <row r="32" spans="1:15" ht="12.75">
      <c r="A32" s="3"/>
      <c r="B32" s="2">
        <v>0</v>
      </c>
      <c r="C32" s="2">
        <f aca="true" t="shared" si="7" ref="C32:K32">B32+1</f>
        <v>1</v>
      </c>
      <c r="D32" s="2">
        <f t="shared" si="7"/>
        <v>2</v>
      </c>
      <c r="E32" s="2">
        <f t="shared" si="7"/>
        <v>3</v>
      </c>
      <c r="F32" s="2">
        <f t="shared" si="7"/>
        <v>4</v>
      </c>
      <c r="G32" s="2">
        <f t="shared" si="7"/>
        <v>5</v>
      </c>
      <c r="H32" s="2">
        <f t="shared" si="7"/>
        <v>6</v>
      </c>
      <c r="I32" s="2">
        <f t="shared" si="7"/>
        <v>7</v>
      </c>
      <c r="J32" s="2">
        <f t="shared" si="7"/>
        <v>8</v>
      </c>
      <c r="K32" s="2">
        <f t="shared" si="7"/>
        <v>9</v>
      </c>
      <c r="M32" s="17" t="s">
        <v>8</v>
      </c>
      <c r="N32" s="17" t="s">
        <v>10</v>
      </c>
      <c r="O32" s="17" t="s">
        <v>12</v>
      </c>
    </row>
    <row r="33" spans="1:15" ht="12.75">
      <c r="A33" s="1">
        <v>0</v>
      </c>
      <c r="B33" s="5"/>
      <c r="C33" s="5"/>
      <c r="D33" s="5"/>
      <c r="E33" s="5"/>
      <c r="F33" s="5"/>
      <c r="G33" s="5"/>
      <c r="H33" s="5"/>
      <c r="I33" s="5"/>
      <c r="J33" s="5"/>
      <c r="K33" s="5">
        <f>K12</f>
        <v>11148123.825</v>
      </c>
      <c r="M33" s="18">
        <f>INDEX(B33:K33,K$32-A33+1)</f>
        <v>11148123.825</v>
      </c>
      <c r="N33" s="18">
        <f>K33</f>
        <v>11148123.825</v>
      </c>
      <c r="O33" s="18">
        <f>N33-M33</f>
        <v>0</v>
      </c>
    </row>
    <row r="34" spans="1:15" ht="12.75">
      <c r="A34" s="1">
        <f aca="true" t="shared" si="8" ref="A34:A42">A33+1</f>
        <v>1</v>
      </c>
      <c r="B34" s="5"/>
      <c r="C34" s="5"/>
      <c r="D34" s="5"/>
      <c r="E34" s="5"/>
      <c r="F34" s="5"/>
      <c r="G34" s="5"/>
      <c r="H34" s="5"/>
      <c r="I34" s="5"/>
      <c r="J34" s="5">
        <f>J13</f>
        <v>10648191.800681584</v>
      </c>
      <c r="K34" s="15">
        <f aca="true" t="shared" si="9" ref="D34:K42">J34*J$26</f>
        <v>10663317.531375283</v>
      </c>
      <c r="M34" s="7">
        <f aca="true" t="shared" si="10" ref="M34:M42">INDEX(B34:K34,K$32-A34+1)</f>
        <v>10648191.800681584</v>
      </c>
      <c r="N34" s="7">
        <f aca="true" t="shared" si="11" ref="N34:N42">K34</f>
        <v>10663317.531375283</v>
      </c>
      <c r="O34" s="7">
        <f aca="true" t="shared" si="12" ref="O34:O42">N34-M34</f>
        <v>15125.730693699792</v>
      </c>
    </row>
    <row r="35" spans="1:15" ht="12.75">
      <c r="A35" s="1">
        <f t="shared" si="8"/>
        <v>2</v>
      </c>
      <c r="B35" s="5"/>
      <c r="C35" s="5"/>
      <c r="D35" s="5"/>
      <c r="E35" s="5"/>
      <c r="F35" s="5"/>
      <c r="G35" s="5"/>
      <c r="H35" s="5"/>
      <c r="I35" s="5">
        <f>I14</f>
        <v>10635751.022122664</v>
      </c>
      <c r="J35" s="15">
        <f t="shared" si="9"/>
        <v>10646884.071879188</v>
      </c>
      <c r="K35" s="15">
        <f t="shared" si="9"/>
        <v>10662007.944947287</v>
      </c>
      <c r="M35" s="7">
        <f t="shared" si="10"/>
        <v>10635751.022122664</v>
      </c>
      <c r="N35" s="7">
        <f t="shared" si="11"/>
        <v>10662007.944947287</v>
      </c>
      <c r="O35" s="7">
        <f t="shared" si="12"/>
        <v>26256.922824623063</v>
      </c>
    </row>
    <row r="36" spans="1:15" ht="12.75">
      <c r="A36" s="1">
        <f t="shared" si="8"/>
        <v>3</v>
      </c>
      <c r="B36" s="5"/>
      <c r="C36" s="5"/>
      <c r="D36" s="5"/>
      <c r="E36" s="5"/>
      <c r="F36" s="5"/>
      <c r="G36" s="5"/>
      <c r="H36" s="5">
        <f>H15</f>
        <v>9724068.209757265</v>
      </c>
      <c r="I36" s="15">
        <f t="shared" si="9"/>
        <v>9734574.128233127</v>
      </c>
      <c r="J36" s="15">
        <f t="shared" si="9"/>
        <v>9744763.864519993</v>
      </c>
      <c r="K36" s="15">
        <f t="shared" si="9"/>
        <v>9758606.278015869</v>
      </c>
      <c r="M36" s="7">
        <f t="shared" si="10"/>
        <v>9724068.209757265</v>
      </c>
      <c r="N36" s="7">
        <f t="shared" si="11"/>
        <v>9758606.278015869</v>
      </c>
      <c r="O36" s="7">
        <f t="shared" si="12"/>
        <v>34538.068258604035</v>
      </c>
    </row>
    <row r="37" spans="1:15" ht="12.75">
      <c r="A37" s="1">
        <f t="shared" si="8"/>
        <v>4</v>
      </c>
      <c r="B37" s="5"/>
      <c r="C37" s="5"/>
      <c r="D37" s="5"/>
      <c r="E37" s="5"/>
      <c r="F37" s="5"/>
      <c r="G37" s="5">
        <f>G16</f>
        <v>9786916.051948782</v>
      </c>
      <c r="H37" s="15">
        <f t="shared" si="9"/>
        <v>9837277.424472788</v>
      </c>
      <c r="I37" s="15">
        <f t="shared" si="9"/>
        <v>9847905.654593823</v>
      </c>
      <c r="J37" s="15">
        <f t="shared" si="9"/>
        <v>9858214.021480383</v>
      </c>
      <c r="K37" s="15">
        <f t="shared" si="9"/>
        <v>9872217.590649772</v>
      </c>
      <c r="M37" s="7">
        <f t="shared" si="10"/>
        <v>9786916.051948782</v>
      </c>
      <c r="N37" s="7">
        <f t="shared" si="11"/>
        <v>9872217.590649772</v>
      </c>
      <c r="O37" s="7">
        <f t="shared" si="12"/>
        <v>85301.53870099038</v>
      </c>
    </row>
    <row r="38" spans="1:15" ht="12.75">
      <c r="A38" s="1">
        <f t="shared" si="8"/>
        <v>5</v>
      </c>
      <c r="B38" s="5"/>
      <c r="C38" s="5"/>
      <c r="D38" s="5"/>
      <c r="E38" s="5"/>
      <c r="F38" s="5">
        <f>F17</f>
        <v>9935752.978049139</v>
      </c>
      <c r="G38" s="15">
        <f t="shared" si="9"/>
        <v>10005044.153121991</v>
      </c>
      <c r="H38" s="15">
        <f t="shared" si="9"/>
        <v>10056527.96610659</v>
      </c>
      <c r="I38" s="15">
        <f t="shared" si="9"/>
        <v>10067393.075306064</v>
      </c>
      <c r="J38" s="15">
        <f t="shared" si="9"/>
        <v>10077931.192247005</v>
      </c>
      <c r="K38" s="15">
        <f t="shared" si="9"/>
        <v>10092246.869125947</v>
      </c>
      <c r="M38" s="7">
        <f t="shared" si="10"/>
        <v>9935752.978049139</v>
      </c>
      <c r="N38" s="7">
        <f t="shared" si="11"/>
        <v>10092246.869125947</v>
      </c>
      <c r="O38" s="7">
        <f t="shared" si="12"/>
        <v>156493.8910768088</v>
      </c>
    </row>
    <row r="39" spans="1:15" ht="12.75">
      <c r="A39" s="1">
        <f t="shared" si="8"/>
        <v>6</v>
      </c>
      <c r="B39" s="5"/>
      <c r="C39" s="5"/>
      <c r="D39" s="5"/>
      <c r="E39" s="5">
        <f>E18</f>
        <v>9282022.219649784</v>
      </c>
      <c r="F39" s="15">
        <f t="shared" si="9"/>
        <v>9419775.993488653</v>
      </c>
      <c r="G39" s="15">
        <f t="shared" si="9"/>
        <v>9485468.78486077</v>
      </c>
      <c r="H39" s="15">
        <f t="shared" si="9"/>
        <v>9534278.9743529</v>
      </c>
      <c r="I39" s="15">
        <f t="shared" si="9"/>
        <v>9544579.843852166</v>
      </c>
      <c r="J39" s="15">
        <f t="shared" si="9"/>
        <v>9554570.702239664</v>
      </c>
      <c r="K39" s="15">
        <f t="shared" si="9"/>
        <v>9568142.94680862</v>
      </c>
      <c r="M39" s="7">
        <f t="shared" si="10"/>
        <v>9282022.219649784</v>
      </c>
      <c r="N39" s="7">
        <f t="shared" si="11"/>
        <v>9568142.94680862</v>
      </c>
      <c r="O39" s="7">
        <f t="shared" si="12"/>
        <v>286120.72715883516</v>
      </c>
    </row>
    <row r="40" spans="1:15" ht="12.75">
      <c r="A40" s="1">
        <f t="shared" si="8"/>
        <v>7</v>
      </c>
      <c r="B40" s="5"/>
      <c r="C40" s="5"/>
      <c r="D40" s="5">
        <f>D19</f>
        <v>8256211.357257279</v>
      </c>
      <c r="E40" s="15">
        <f t="shared" si="9"/>
        <v>8445057.032358367</v>
      </c>
      <c r="F40" s="15">
        <f t="shared" si="9"/>
        <v>8570389.470588163</v>
      </c>
      <c r="G40" s="15">
        <f t="shared" si="9"/>
        <v>8630158.705850054</v>
      </c>
      <c r="H40" s="15">
        <f t="shared" si="9"/>
        <v>8674567.652981061</v>
      </c>
      <c r="I40" s="15">
        <f t="shared" si="9"/>
        <v>8683939.687258251</v>
      </c>
      <c r="J40" s="15">
        <f t="shared" si="9"/>
        <v>8693029.664300757</v>
      </c>
      <c r="K40" s="15">
        <f t="shared" si="9"/>
        <v>8705378.091909483</v>
      </c>
      <c r="M40" s="7">
        <f t="shared" si="10"/>
        <v>8256211.357257279</v>
      </c>
      <c r="N40" s="7">
        <f t="shared" si="11"/>
        <v>8705378.091909483</v>
      </c>
      <c r="O40" s="7">
        <f t="shared" si="12"/>
        <v>449166.73465220444</v>
      </c>
    </row>
    <row r="41" spans="1:15" ht="12.75">
      <c r="A41" s="1">
        <f t="shared" si="8"/>
        <v>8</v>
      </c>
      <c r="B41" s="5"/>
      <c r="C41" s="5">
        <f>C20</f>
        <v>7648728.911074035</v>
      </c>
      <c r="D41" s="15">
        <f t="shared" si="9"/>
        <v>8243496.09708295</v>
      </c>
      <c r="E41" s="15">
        <f t="shared" si="9"/>
        <v>8432050.933954759</v>
      </c>
      <c r="F41" s="15">
        <f t="shared" si="9"/>
        <v>8557190.34968411</v>
      </c>
      <c r="G41" s="15">
        <f t="shared" si="9"/>
        <v>8616867.535294667</v>
      </c>
      <c r="H41" s="15">
        <f t="shared" si="9"/>
        <v>8661208.088910488</v>
      </c>
      <c r="I41" s="15">
        <f t="shared" si="9"/>
        <v>8670565.68946632</v>
      </c>
      <c r="J41" s="15">
        <f t="shared" si="9"/>
        <v>8679641.667179342</v>
      </c>
      <c r="K41" s="15">
        <f t="shared" si="9"/>
        <v>8691971.077170545</v>
      </c>
      <c r="M41" s="7">
        <f t="shared" si="10"/>
        <v>7648728.911074035</v>
      </c>
      <c r="N41" s="7">
        <f t="shared" si="11"/>
        <v>8691971.077170545</v>
      </c>
      <c r="O41" s="7">
        <f t="shared" si="12"/>
        <v>1043242.1660965104</v>
      </c>
    </row>
    <row r="42" spans="1:15" ht="12.75">
      <c r="A42" s="3">
        <f t="shared" si="8"/>
        <v>9</v>
      </c>
      <c r="B42" s="12">
        <f>B21</f>
        <v>5675568.139045331</v>
      </c>
      <c r="C42" s="14">
        <f>B42*B$26</f>
        <v>8470989.286402186</v>
      </c>
      <c r="D42" s="14">
        <f t="shared" si="9"/>
        <v>9129695.656984959</v>
      </c>
      <c r="E42" s="14">
        <f t="shared" si="9"/>
        <v>9338520.68158844</v>
      </c>
      <c r="F42" s="14">
        <f t="shared" si="9"/>
        <v>9477112.944731036</v>
      </c>
      <c r="G42" s="14">
        <f t="shared" si="9"/>
        <v>9543205.599579576</v>
      </c>
      <c r="H42" s="14">
        <f t="shared" si="9"/>
        <v>9592312.890346406</v>
      </c>
      <c r="I42" s="14">
        <f t="shared" si="9"/>
        <v>9602676.459898481</v>
      </c>
      <c r="J42" s="14">
        <f t="shared" si="9"/>
        <v>9612728.131341474</v>
      </c>
      <c r="K42" s="14">
        <f t="shared" si="9"/>
        <v>9626382.988397779</v>
      </c>
      <c r="M42" s="7">
        <f t="shared" si="10"/>
        <v>5675568.139045331</v>
      </c>
      <c r="N42" s="7">
        <f t="shared" si="11"/>
        <v>9626382.988397779</v>
      </c>
      <c r="O42" s="7">
        <f t="shared" si="12"/>
        <v>3950814.8493524482</v>
      </c>
    </row>
    <row r="43" spans="13:15" ht="12.75">
      <c r="M43" s="9"/>
      <c r="N43" s="20" t="s">
        <v>13</v>
      </c>
      <c r="O43" s="19">
        <f>SUM(O33:O42)</f>
        <v>6047060.628814724</v>
      </c>
    </row>
    <row r="46" ht="12.75">
      <c r="A46" s="11" t="s">
        <v>14</v>
      </c>
    </row>
    <row r="48" spans="1:11" ht="12.75">
      <c r="A48" s="8"/>
      <c r="B48" s="9">
        <v>0</v>
      </c>
      <c r="C48" s="9">
        <f aca="true" t="shared" si="13" ref="C48:K48">B48+1</f>
        <v>1</v>
      </c>
      <c r="D48" s="9">
        <f t="shared" si="13"/>
        <v>2</v>
      </c>
      <c r="E48" s="9">
        <f t="shared" si="13"/>
        <v>3</v>
      </c>
      <c r="F48" s="9">
        <f t="shared" si="13"/>
        <v>4</v>
      </c>
      <c r="G48" s="9">
        <f t="shared" si="13"/>
        <v>5</v>
      </c>
      <c r="H48" s="9">
        <f t="shared" si="13"/>
        <v>6</v>
      </c>
      <c r="I48" s="9">
        <f t="shared" si="13"/>
        <v>7</v>
      </c>
      <c r="J48" s="9">
        <f t="shared" si="13"/>
        <v>8</v>
      </c>
      <c r="K48" s="9">
        <f t="shared" si="13"/>
        <v>9</v>
      </c>
    </row>
    <row r="49" spans="1:11" ht="12.75">
      <c r="A49" s="1">
        <v>0</v>
      </c>
      <c r="B49" s="24">
        <f>C12/B12</f>
        <v>1.6257359924026593</v>
      </c>
      <c r="C49" s="24">
        <f aca="true" t="shared" si="14" ref="C49:I56">D12/C12</f>
        <v>1.0926455984578538</v>
      </c>
      <c r="D49" s="24">
        <f t="shared" si="14"/>
        <v>1.0196669556950109</v>
      </c>
      <c r="E49" s="24">
        <f t="shared" si="14"/>
        <v>1.019189560470121</v>
      </c>
      <c r="F49" s="24">
        <f t="shared" si="14"/>
        <v>1.0056587650260012</v>
      </c>
      <c r="G49" s="24">
        <f t="shared" si="14"/>
        <v>1.005961080922292</v>
      </c>
      <c r="H49" s="24">
        <f t="shared" si="14"/>
        <v>1.0013370445840788</v>
      </c>
      <c r="I49" s="24">
        <f t="shared" si="14"/>
        <v>1.0010007507408694</v>
      </c>
      <c r="J49" s="24">
        <f>K12/J12</f>
        <v>1.0014204975808882</v>
      </c>
      <c r="K49" s="7"/>
    </row>
    <row r="50" spans="1:11" ht="12.75">
      <c r="A50" s="1">
        <f aca="true" t="shared" si="15" ref="A50:A58">A49+1</f>
        <v>1</v>
      </c>
      <c r="B50" s="24">
        <f aca="true" t="shared" si="16" ref="B50:B57">C13/B13</f>
        <v>1.5115062761506275</v>
      </c>
      <c r="C50" s="24">
        <f t="shared" si="14"/>
        <v>1.0753892999214458</v>
      </c>
      <c r="D50" s="24">
        <f t="shared" si="14"/>
        <v>1.0147141466758094</v>
      </c>
      <c r="E50" s="24">
        <f t="shared" si="14"/>
        <v>1.0064790719465866</v>
      </c>
      <c r="F50" s="24">
        <f t="shared" si="14"/>
        <v>1.0034741328462569</v>
      </c>
      <c r="G50" s="24">
        <f t="shared" si="14"/>
        <v>1.0049895043129031</v>
      </c>
      <c r="H50" s="24">
        <f t="shared" si="14"/>
        <v>1.0010528013045892</v>
      </c>
      <c r="I50" s="24">
        <f t="shared" si="14"/>
        <v>1.0010948600117762</v>
      </c>
      <c r="J50" s="7"/>
      <c r="K50" s="7"/>
    </row>
    <row r="51" spans="1:11" ht="12.75">
      <c r="A51" s="1">
        <f t="shared" si="15"/>
        <v>2</v>
      </c>
      <c r="B51" s="24">
        <f t="shared" si="16"/>
        <v>1.4747456107977013</v>
      </c>
      <c r="C51" s="24">
        <f t="shared" si="14"/>
        <v>1.0916196856783034</v>
      </c>
      <c r="D51" s="24">
        <f t="shared" si="14"/>
        <v>1.0260363447399348</v>
      </c>
      <c r="E51" s="24">
        <f t="shared" si="14"/>
        <v>1.0147466073048805</v>
      </c>
      <c r="F51" s="24">
        <f t="shared" si="14"/>
        <v>1.0062281307606635</v>
      </c>
      <c r="G51" s="24">
        <f t="shared" si="14"/>
        <v>1.0050642028321963</v>
      </c>
      <c r="H51" s="24">
        <f t="shared" si="14"/>
        <v>1.0008397809841278</v>
      </c>
      <c r="I51" s="7"/>
      <c r="J51" s="7"/>
      <c r="K51" s="7"/>
    </row>
    <row r="52" spans="1:11" ht="12.75">
      <c r="A52" s="1">
        <f t="shared" si="15"/>
        <v>3</v>
      </c>
      <c r="B52" s="24">
        <f t="shared" si="16"/>
        <v>1.4576526566217287</v>
      </c>
      <c r="C52" s="24">
        <f t="shared" si="14"/>
        <v>1.0845438224253305</v>
      </c>
      <c r="D52" s="24">
        <f t="shared" si="14"/>
        <v>1.0205693644694243</v>
      </c>
      <c r="E52" s="24">
        <f t="shared" si="14"/>
        <v>1.014057473245536</v>
      </c>
      <c r="F52" s="24">
        <f t="shared" si="14"/>
        <v>1.0092094196570185</v>
      </c>
      <c r="G52" s="24">
        <f t="shared" si="14"/>
        <v>1.004475756150822</v>
      </c>
      <c r="H52" s="7"/>
      <c r="I52" s="7"/>
      <c r="J52" s="7"/>
      <c r="K52" s="7"/>
    </row>
    <row r="53" spans="1:11" ht="12.75">
      <c r="A53" s="1">
        <f t="shared" si="15"/>
        <v>4</v>
      </c>
      <c r="B53" s="24">
        <f t="shared" si="16"/>
        <v>1.475044708177532</v>
      </c>
      <c r="C53" s="24">
        <f t="shared" si="14"/>
        <v>1.0767111209081892</v>
      </c>
      <c r="D53" s="24">
        <f t="shared" si="14"/>
        <v>1.0297881052308322</v>
      </c>
      <c r="E53" s="24">
        <f t="shared" si="14"/>
        <v>1.0243654332429217</v>
      </c>
      <c r="F53" s="24">
        <f t="shared" si="14"/>
        <v>1.0108683878174056</v>
      </c>
      <c r="G53" s="7"/>
      <c r="H53" s="7"/>
      <c r="I53" s="7"/>
      <c r="J53" s="7"/>
      <c r="K53" s="7"/>
    </row>
    <row r="54" spans="1:11" ht="12.75">
      <c r="A54" s="1">
        <f t="shared" si="15"/>
        <v>5</v>
      </c>
      <c r="B54" s="24">
        <f t="shared" si="16"/>
        <v>1.4573052472793881</v>
      </c>
      <c r="C54" s="24">
        <f t="shared" si="14"/>
        <v>1.0635478087281196</v>
      </c>
      <c r="D54" s="24">
        <f t="shared" si="14"/>
        <v>1.025547889257721</v>
      </c>
      <c r="E54" s="24">
        <f t="shared" si="14"/>
        <v>1.0106763375078378</v>
      </c>
      <c r="F54" s="7"/>
      <c r="G54" s="7"/>
      <c r="H54" s="7"/>
      <c r="I54" s="7"/>
      <c r="J54" s="7"/>
      <c r="K54" s="7"/>
    </row>
    <row r="55" spans="1:11" ht="12.75">
      <c r="A55" s="1">
        <f t="shared" si="15"/>
        <v>6</v>
      </c>
      <c r="B55" s="24">
        <f t="shared" si="16"/>
        <v>1.5166270783847984</v>
      </c>
      <c r="C55" s="24">
        <f t="shared" si="14"/>
        <v>1.0663002434233106</v>
      </c>
      <c r="D55" s="24">
        <f t="shared" si="14"/>
        <v>1.02490110747763</v>
      </c>
      <c r="E55" s="7"/>
      <c r="F55" s="7"/>
      <c r="G55" s="7"/>
      <c r="H55" s="7"/>
      <c r="I55" s="7"/>
      <c r="J55" s="7"/>
      <c r="K55" s="7"/>
    </row>
    <row r="56" spans="1:11" ht="12.75">
      <c r="A56" s="1">
        <f t="shared" si="15"/>
        <v>7</v>
      </c>
      <c r="B56" s="24">
        <f t="shared" si="16"/>
        <v>1.4614358746388085</v>
      </c>
      <c r="C56" s="24">
        <f t="shared" si="14"/>
        <v>1.0683269961977186</v>
      </c>
      <c r="D56" s="7"/>
      <c r="E56" s="7"/>
      <c r="F56" s="7"/>
      <c r="G56" s="7"/>
      <c r="H56" s="7"/>
      <c r="I56" s="7"/>
      <c r="J56" s="7"/>
      <c r="K56" s="7"/>
    </row>
    <row r="57" spans="1:11" ht="12.75">
      <c r="A57" s="1">
        <f t="shared" si="15"/>
        <v>8</v>
      </c>
      <c r="B57" s="24">
        <f t="shared" si="16"/>
        <v>1.4456677836285305</v>
      </c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3">
        <f t="shared" si="15"/>
        <v>9</v>
      </c>
      <c r="B58" s="12"/>
      <c r="C58" s="6"/>
      <c r="D58" s="6"/>
      <c r="E58" s="6"/>
      <c r="F58" s="6"/>
      <c r="G58" s="6"/>
      <c r="H58" s="6"/>
      <c r="I58" s="6"/>
      <c r="J58" s="6"/>
      <c r="K58" s="6"/>
    </row>
    <row r="61" ht="12.75">
      <c r="A61" s="11" t="s">
        <v>26</v>
      </c>
    </row>
    <row r="63" spans="1:11" ht="12.75">
      <c r="A63" s="8"/>
      <c r="B63" s="9">
        <v>0</v>
      </c>
      <c r="C63" s="9">
        <f aca="true" t="shared" si="17" ref="C63:K63">B63+1</f>
        <v>1</v>
      </c>
      <c r="D63" s="9">
        <f t="shared" si="17"/>
        <v>2</v>
      </c>
      <c r="E63" s="9">
        <f t="shared" si="17"/>
        <v>3</v>
      </c>
      <c r="F63" s="9">
        <f t="shared" si="17"/>
        <v>4</v>
      </c>
      <c r="G63" s="9">
        <f t="shared" si="17"/>
        <v>5</v>
      </c>
      <c r="H63" s="9">
        <f t="shared" si="17"/>
        <v>6</v>
      </c>
      <c r="I63" s="9">
        <f t="shared" si="17"/>
        <v>7</v>
      </c>
      <c r="J63" s="9">
        <f t="shared" si="17"/>
        <v>8</v>
      </c>
      <c r="K63" s="9">
        <f t="shared" si="17"/>
        <v>9</v>
      </c>
    </row>
    <row r="64" spans="1:11" ht="12.75">
      <c r="A64" s="1">
        <v>0</v>
      </c>
      <c r="B64" s="7">
        <f>B12*(B49-B$26)^2</f>
        <v>105512.78809856506</v>
      </c>
      <c r="C64" s="7">
        <f aca="true" t="shared" si="18" ref="C64:I71">C12*(C49-C$26)^2</f>
        <v>2142.2162549999903</v>
      </c>
      <c r="D64" s="7">
        <f t="shared" si="18"/>
        <v>108.59477106136447</v>
      </c>
      <c r="E64" s="7">
        <f t="shared" si="18"/>
        <v>203.699662148949</v>
      </c>
      <c r="F64" s="7">
        <f t="shared" si="18"/>
        <v>18.988670913525546</v>
      </c>
      <c r="G64" s="7">
        <f t="shared" si="18"/>
        <v>7.338701991425832</v>
      </c>
      <c r="H64" s="7">
        <f t="shared" si="18"/>
        <v>0.7315139013549321</v>
      </c>
      <c r="I64" s="7">
        <f t="shared" si="18"/>
        <v>0.023539104499730897</v>
      </c>
      <c r="J64" s="24"/>
      <c r="K64" s="7"/>
    </row>
    <row r="65" spans="1:11" ht="12.75">
      <c r="A65" s="1">
        <f aca="true" t="shared" si="19" ref="A65:A73">A64+1</f>
        <v>1</v>
      </c>
      <c r="B65" s="7">
        <f aca="true" t="shared" si="20" ref="B65:B72">B13*(B50-B$26)^2</f>
        <v>2284.036298293828</v>
      </c>
      <c r="C65" s="7">
        <f t="shared" si="18"/>
        <v>53.927716475912796</v>
      </c>
      <c r="D65" s="7">
        <f t="shared" si="18"/>
        <v>686.7571192176009</v>
      </c>
      <c r="E65" s="7">
        <f t="shared" si="18"/>
        <v>731.9408908510892</v>
      </c>
      <c r="F65" s="7">
        <f t="shared" si="18"/>
        <v>129.05056840767247</v>
      </c>
      <c r="G65" s="7">
        <f t="shared" si="18"/>
        <v>0.25822397091832816</v>
      </c>
      <c r="H65" s="7">
        <f t="shared" si="18"/>
        <v>0.008095331081326613</v>
      </c>
      <c r="I65" s="7">
        <f t="shared" si="18"/>
        <v>0.024611620359568827</v>
      </c>
      <c r="J65" s="7"/>
      <c r="K65" s="7"/>
    </row>
    <row r="66" spans="1:11" ht="12.75">
      <c r="A66" s="1">
        <f t="shared" si="19"/>
        <v>2</v>
      </c>
      <c r="B66" s="7">
        <f t="shared" si="20"/>
        <v>1984.1352608109746</v>
      </c>
      <c r="C66" s="7">
        <f t="shared" si="18"/>
        <v>1775.8725505406999</v>
      </c>
      <c r="D66" s="7">
        <f t="shared" si="18"/>
        <v>100.98132124561803</v>
      </c>
      <c r="E66" s="7">
        <f t="shared" si="18"/>
        <v>0.09211290795780042</v>
      </c>
      <c r="F66" s="7">
        <f t="shared" si="18"/>
        <v>5.844521073838802</v>
      </c>
      <c r="G66" s="7">
        <f t="shared" si="18"/>
        <v>0.07037324498120737</v>
      </c>
      <c r="H66" s="7">
        <f t="shared" si="18"/>
        <v>0.6152853231874565</v>
      </c>
      <c r="I66" s="7"/>
      <c r="J66" s="7"/>
      <c r="K66" s="7"/>
    </row>
    <row r="67" spans="1:11" ht="12.75">
      <c r="A67" s="1">
        <f t="shared" si="19"/>
        <v>3</v>
      </c>
      <c r="B67" s="7">
        <f t="shared" si="20"/>
        <v>7134.361055044021</v>
      </c>
      <c r="C67" s="7">
        <f t="shared" si="18"/>
        <v>393.26932102200755</v>
      </c>
      <c r="D67" s="7">
        <f t="shared" si="18"/>
        <v>49.1939229237914</v>
      </c>
      <c r="E67" s="7">
        <f t="shared" si="18"/>
        <v>5.8061277397525</v>
      </c>
      <c r="F67" s="7">
        <f t="shared" si="18"/>
        <v>47.93749501966043</v>
      </c>
      <c r="G67" s="7">
        <f t="shared" si="18"/>
        <v>4.3460671336828804</v>
      </c>
      <c r="H67" s="7"/>
      <c r="I67" s="7"/>
      <c r="J67" s="7"/>
      <c r="K67" s="7"/>
    </row>
    <row r="68" spans="1:11" ht="12.75">
      <c r="A68" s="1">
        <f t="shared" si="19"/>
        <v>4</v>
      </c>
      <c r="B68" s="7">
        <f t="shared" si="20"/>
        <v>1768.0056016239716</v>
      </c>
      <c r="C68" s="7">
        <f t="shared" si="18"/>
        <v>9.382518514623099</v>
      </c>
      <c r="D68" s="7">
        <f t="shared" si="18"/>
        <v>438.8594638927384</v>
      </c>
      <c r="E68" s="7">
        <f t="shared" si="18"/>
        <v>857.3964296423053</v>
      </c>
      <c r="F68" s="7">
        <f t="shared" si="18"/>
        <v>146.84083417526674</v>
      </c>
      <c r="G68" s="7"/>
      <c r="H68" s="7"/>
      <c r="I68" s="7"/>
      <c r="J68" s="7"/>
      <c r="K68" s="7"/>
    </row>
    <row r="69" spans="1:11" ht="12.75">
      <c r="A69" s="1">
        <f t="shared" si="19"/>
        <v>5</v>
      </c>
      <c r="B69" s="7">
        <f t="shared" si="20"/>
        <v>7676.565311248069</v>
      </c>
      <c r="C69" s="7">
        <f t="shared" si="18"/>
        <v>1820.5977437682104</v>
      </c>
      <c r="D69" s="7">
        <f t="shared" si="18"/>
        <v>68.57900046708635</v>
      </c>
      <c r="E69" s="7">
        <f t="shared" si="18"/>
        <v>170.50306067720652</v>
      </c>
      <c r="F69" s="7"/>
      <c r="G69" s="7"/>
      <c r="H69" s="7"/>
      <c r="I69" s="7"/>
      <c r="J69" s="7"/>
      <c r="K69" s="7"/>
    </row>
    <row r="70" spans="1:11" ht="12.75">
      <c r="A70" s="1">
        <f t="shared" si="19"/>
        <v>6</v>
      </c>
      <c r="B70" s="7">
        <f t="shared" si="20"/>
        <v>3250.2582385221904</v>
      </c>
      <c r="C70" s="7">
        <f t="shared" si="18"/>
        <v>1115.4548428845121</v>
      </c>
      <c r="D70" s="7">
        <f t="shared" si="18"/>
        <v>37.245379254720426</v>
      </c>
      <c r="E70" s="7"/>
      <c r="F70" s="7"/>
      <c r="G70" s="7"/>
      <c r="H70" s="7"/>
      <c r="I70" s="7"/>
      <c r="J70" s="7"/>
      <c r="K70" s="7"/>
    </row>
    <row r="71" spans="1:11" ht="12.75">
      <c r="A71" s="1">
        <f t="shared" si="19"/>
        <v>7</v>
      </c>
      <c r="B71" s="7">
        <f t="shared" si="20"/>
        <v>5114.683268125897</v>
      </c>
      <c r="C71" s="7">
        <f t="shared" si="18"/>
        <v>687.7031390311782</v>
      </c>
      <c r="D71" s="7"/>
      <c r="E71" s="7"/>
      <c r="F71" s="7"/>
      <c r="G71" s="7"/>
      <c r="H71" s="7"/>
      <c r="I71" s="7"/>
      <c r="J71" s="7"/>
      <c r="K71" s="7"/>
    </row>
    <row r="72" spans="1:11" ht="12.75">
      <c r="A72" s="1">
        <f t="shared" si="19"/>
        <v>8</v>
      </c>
      <c r="B72" s="7">
        <f t="shared" si="20"/>
        <v>11621.870870594017</v>
      </c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3">
        <f t="shared" si="19"/>
        <v>9</v>
      </c>
      <c r="B73" s="12"/>
      <c r="C73" s="6"/>
      <c r="D73" s="6"/>
      <c r="E73" s="6"/>
      <c r="F73" s="6"/>
      <c r="G73" s="6"/>
      <c r="H73" s="6"/>
      <c r="I73" s="6"/>
      <c r="J73" s="6"/>
      <c r="K73" s="6"/>
    </row>
  </sheetData>
  <printOptions/>
  <pageMargins left="0.75" right="0.75" top="1" bottom="1" header="0.5" footer="0.5"/>
  <pageSetup fitToHeight="1" fitToWidth="1"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16" width="10.7109375" style="0" customWidth="1"/>
  </cols>
  <sheetData>
    <row r="1" spans="1:2" ht="12.75">
      <c r="A1" s="11" t="s">
        <v>1</v>
      </c>
      <c r="B1" s="11"/>
    </row>
    <row r="2" s="13" customFormat="1" ht="12.75" customHeight="1">
      <c r="A2" s="13" t="s">
        <v>50</v>
      </c>
    </row>
    <row r="3" s="13" customFormat="1" ht="12.75" customHeight="1">
      <c r="A3" s="13" t="s">
        <v>2</v>
      </c>
    </row>
    <row r="4" s="13" customFormat="1" ht="12.75" customHeight="1">
      <c r="A4" t="s">
        <v>51</v>
      </c>
    </row>
    <row r="5" s="13" customFormat="1" ht="12.75"/>
    <row r="6" ht="15.75">
      <c r="A6" s="4" t="s">
        <v>21</v>
      </c>
    </row>
    <row r="7" ht="12.75">
      <c r="A7" t="s">
        <v>23</v>
      </c>
    </row>
    <row r="9" ht="12.75">
      <c r="A9" s="11" t="s">
        <v>0</v>
      </c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16" t="s">
        <v>7</v>
      </c>
      <c r="N10" s="16" t="s">
        <v>9</v>
      </c>
      <c r="O10" s="16" t="s">
        <v>11</v>
      </c>
      <c r="P10" s="16" t="s">
        <v>18</v>
      </c>
      <c r="Q10" s="16" t="s">
        <v>20</v>
      </c>
    </row>
    <row r="11" spans="1:17" ht="12.75">
      <c r="A11" s="3"/>
      <c r="B11" s="2">
        <v>0</v>
      </c>
      <c r="C11" s="2">
        <f aca="true" t="shared" si="0" ref="C11:K11">B11+1</f>
        <v>1</v>
      </c>
      <c r="D11" s="2">
        <f t="shared" si="0"/>
        <v>2</v>
      </c>
      <c r="E11" s="2">
        <f t="shared" si="0"/>
        <v>3</v>
      </c>
      <c r="F11" s="2">
        <f t="shared" si="0"/>
        <v>4</v>
      </c>
      <c r="G11" s="2">
        <f t="shared" si="0"/>
        <v>5</v>
      </c>
      <c r="H11" s="2">
        <f t="shared" si="0"/>
        <v>6</v>
      </c>
      <c r="I11" s="2">
        <f t="shared" si="0"/>
        <v>7</v>
      </c>
      <c r="J11" s="2">
        <f t="shared" si="0"/>
        <v>8</v>
      </c>
      <c r="K11" s="2">
        <f t="shared" si="0"/>
        <v>9</v>
      </c>
      <c r="M11" s="17" t="s">
        <v>8</v>
      </c>
      <c r="N11" s="17" t="s">
        <v>10</v>
      </c>
      <c r="O11" s="17" t="s">
        <v>12</v>
      </c>
      <c r="P11" s="17" t="s">
        <v>19</v>
      </c>
      <c r="Q11" s="17"/>
    </row>
    <row r="12" spans="1:17" ht="12.75">
      <c r="A12" s="1">
        <v>0</v>
      </c>
      <c r="B12" s="5">
        <v>5946975.449999999</v>
      </c>
      <c r="C12" s="5">
        <v>9668212.035</v>
      </c>
      <c r="D12" s="5">
        <v>10563929.325</v>
      </c>
      <c r="E12" s="5">
        <v>10771689.655</v>
      </c>
      <c r="F12" s="5">
        <v>10978393.645</v>
      </c>
      <c r="G12" s="5">
        <v>11040517.795</v>
      </c>
      <c r="H12" s="5">
        <v>11106331.215</v>
      </c>
      <c r="I12" s="5">
        <v>11121180.875</v>
      </c>
      <c r="J12" s="5">
        <v>11132310.405</v>
      </c>
      <c r="K12" s="5">
        <v>11148123.825</v>
      </c>
      <c r="M12" s="18">
        <f>'Ex 3.7 (Parameters)'!M33</f>
        <v>11148123.825</v>
      </c>
      <c r="N12" s="18">
        <f>'Ex 3.7 (Parameters)'!N33</f>
        <v>11148123.825</v>
      </c>
      <c r="O12" s="18">
        <f aca="true" t="shared" si="1" ref="O12:O21">N12-M12</f>
        <v>0</v>
      </c>
      <c r="P12" s="18"/>
      <c r="Q12" s="18"/>
    </row>
    <row r="13" spans="1:17" ht="12.75">
      <c r="A13" s="1">
        <f aca="true" t="shared" si="2" ref="A13:A21">A12+1</f>
        <v>1</v>
      </c>
      <c r="B13" s="5">
        <v>6346756.121088335</v>
      </c>
      <c r="C13" s="5">
        <v>9593161.71022243</v>
      </c>
      <c r="D13" s="5">
        <v>10316383.455589319</v>
      </c>
      <c r="E13" s="5">
        <v>10468180.234918753</v>
      </c>
      <c r="F13" s="5">
        <v>10536004.327810626</v>
      </c>
      <c r="G13" s="5">
        <v>10572607.806514177</v>
      </c>
      <c r="H13" s="5">
        <v>10625359.878763413</v>
      </c>
      <c r="I13" s="5">
        <v>10636546.271505505</v>
      </c>
      <c r="J13" s="5">
        <v>10648191.800681584</v>
      </c>
      <c r="K13" s="5"/>
      <c r="M13" s="7">
        <f>'Ex 3.7 (Parameters)'!M34</f>
        <v>10648191.800681584</v>
      </c>
      <c r="N13" s="7">
        <f>'Ex 3.7 (Parameters)'!N34</f>
        <v>10663317.531375283</v>
      </c>
      <c r="O13" s="7">
        <f t="shared" si="1"/>
        <v>15125.730693699792</v>
      </c>
      <c r="P13" s="7">
        <f>N13*M31</f>
        <v>190.89871762701986</v>
      </c>
      <c r="Q13" s="42">
        <f>P13/O13</f>
        <v>0.012620793103670256</v>
      </c>
    </row>
    <row r="14" spans="1:17" ht="12.75">
      <c r="A14" s="1">
        <f t="shared" si="2"/>
        <v>2</v>
      </c>
      <c r="B14" s="5">
        <v>6269090.211232325</v>
      </c>
      <c r="C14" s="5">
        <v>9245313.272709705</v>
      </c>
      <c r="D14" s="5">
        <v>10092365.968752814</v>
      </c>
      <c r="E14" s="5">
        <v>10355134.288356848</v>
      </c>
      <c r="F14" s="5">
        <v>10507837.38729655</v>
      </c>
      <c r="G14" s="5">
        <v>10573281.572556423</v>
      </c>
      <c r="H14" s="5">
        <v>10626826.815041773</v>
      </c>
      <c r="I14" s="5">
        <v>10635751.022122664</v>
      </c>
      <c r="J14" s="5"/>
      <c r="K14" s="5"/>
      <c r="M14" s="7">
        <f>'Ex 3.7 (Parameters)'!M35</f>
        <v>10635751.022122664</v>
      </c>
      <c r="N14" s="7">
        <f>'Ex 3.7 (Parameters)'!N35</f>
        <v>10662007.944947287</v>
      </c>
      <c r="O14" s="7">
        <f t="shared" si="1"/>
        <v>26256.922824623063</v>
      </c>
      <c r="P14" s="7">
        <f aca="true" t="shared" si="3" ref="P14:P21">N14*M32</f>
        <v>741.6285642229155</v>
      </c>
      <c r="Q14" s="42">
        <f aca="true" t="shared" si="4" ref="Q14:Q22">P14/O14</f>
        <v>0.028245067755138294</v>
      </c>
    </row>
    <row r="15" spans="1:17" ht="12.75">
      <c r="A15" s="1">
        <f t="shared" si="2"/>
        <v>3</v>
      </c>
      <c r="B15" s="5">
        <v>5863014.807540223</v>
      </c>
      <c r="C15" s="5">
        <v>8546239.11002354</v>
      </c>
      <c r="D15" s="5">
        <v>9268770.831745785</v>
      </c>
      <c r="E15" s="5">
        <v>9459423.557167532</v>
      </c>
      <c r="F15" s="5">
        <v>9592399.150740609</v>
      </c>
      <c r="G15" s="5">
        <v>9680739.580037408</v>
      </c>
      <c r="H15" s="5">
        <v>9724068.209757265</v>
      </c>
      <c r="I15" s="5"/>
      <c r="J15" s="5"/>
      <c r="K15" s="5"/>
      <c r="M15" s="7">
        <f>'Ex 3.7 (Parameters)'!M36</f>
        <v>9724068.209757265</v>
      </c>
      <c r="N15" s="7">
        <f>'Ex 3.7 (Parameters)'!N36</f>
        <v>9758606.278015869</v>
      </c>
      <c r="O15" s="7">
        <f t="shared" si="1"/>
        <v>34538.068258604035</v>
      </c>
      <c r="P15" s="7">
        <f t="shared" si="3"/>
        <v>2668.9922076685198</v>
      </c>
      <c r="Q15" s="42">
        <f t="shared" si="4"/>
        <v>0.07727682358157444</v>
      </c>
    </row>
    <row r="16" spans="1:17" ht="12.75">
      <c r="A16" s="1">
        <f t="shared" si="2"/>
        <v>4</v>
      </c>
      <c r="B16" s="5">
        <v>5778885.359646133</v>
      </c>
      <c r="C16" s="5">
        <v>8524114.268910643</v>
      </c>
      <c r="D16" s="5">
        <v>9178008.629228268</v>
      </c>
      <c r="E16" s="5">
        <v>9451404.116085205</v>
      </c>
      <c r="F16" s="5">
        <v>9681691.672127554</v>
      </c>
      <c r="G16" s="5">
        <v>9786916.051948782</v>
      </c>
      <c r="H16" s="5"/>
      <c r="I16" s="5"/>
      <c r="J16" s="5"/>
      <c r="K16" s="5"/>
      <c r="M16" s="7">
        <f>'Ex 3.7 (Parameters)'!M37</f>
        <v>9786916.051948782</v>
      </c>
      <c r="N16" s="7">
        <f>'Ex 3.7 (Parameters)'!N37</f>
        <v>9872217.590649772</v>
      </c>
      <c r="O16" s="7">
        <f t="shared" si="1"/>
        <v>85301.53870099038</v>
      </c>
      <c r="P16" s="7">
        <f t="shared" si="3"/>
        <v>6832.028717390513</v>
      </c>
      <c r="Q16" s="42">
        <f t="shared" si="4"/>
        <v>0.08009267853114578</v>
      </c>
    </row>
    <row r="17" spans="1:17" ht="12.75">
      <c r="A17" s="1">
        <f t="shared" si="2"/>
        <v>5</v>
      </c>
      <c r="B17" s="5">
        <v>6184793.399572363</v>
      </c>
      <c r="C17" s="5">
        <v>9013131.87453573</v>
      </c>
      <c r="D17" s="5">
        <v>9585896.654940045</v>
      </c>
      <c r="E17" s="5">
        <v>9830796.08111641</v>
      </c>
      <c r="F17" s="5">
        <v>9935752.978049139</v>
      </c>
      <c r="G17" s="5"/>
      <c r="H17" s="5"/>
      <c r="I17" s="5"/>
      <c r="J17" s="5"/>
      <c r="K17" s="5"/>
      <c r="M17" s="7">
        <f>'Ex 3.7 (Parameters)'!M38</f>
        <v>9935752.978049139</v>
      </c>
      <c r="N17" s="7">
        <f>'Ex 3.7 (Parameters)'!N38</f>
        <v>10092246.869125947</v>
      </c>
      <c r="O17" s="7">
        <f t="shared" si="1"/>
        <v>156493.8910768088</v>
      </c>
      <c r="P17" s="7">
        <f t="shared" si="3"/>
        <v>30478.429720076936</v>
      </c>
      <c r="Q17" s="42">
        <f t="shared" si="4"/>
        <v>0.19475795195812348</v>
      </c>
    </row>
    <row r="18" spans="1:17" ht="12.75">
      <c r="A18" s="1">
        <f t="shared" si="2"/>
        <v>6</v>
      </c>
      <c r="B18" s="5">
        <v>5600184.39631737</v>
      </c>
      <c r="C18" s="5">
        <v>8493391.299402948</v>
      </c>
      <c r="D18" s="5">
        <v>9056505.210042793</v>
      </c>
      <c r="E18" s="5">
        <v>9282022.219649784</v>
      </c>
      <c r="F18" s="5"/>
      <c r="G18" s="5"/>
      <c r="H18" s="5"/>
      <c r="I18" s="5"/>
      <c r="J18" s="5"/>
      <c r="K18" s="5"/>
      <c r="M18" s="7">
        <f>'Ex 3.7 (Parameters)'!M39</f>
        <v>9282022.219649784</v>
      </c>
      <c r="N18" s="7">
        <f>'Ex 3.7 (Parameters)'!N39</f>
        <v>9568142.94680862</v>
      </c>
      <c r="O18" s="7">
        <f t="shared" si="1"/>
        <v>286120.72715883516</v>
      </c>
      <c r="P18" s="7">
        <f t="shared" si="3"/>
        <v>68211.76895198991</v>
      </c>
      <c r="Q18" s="42">
        <f t="shared" si="4"/>
        <v>0.23840205366919567</v>
      </c>
    </row>
    <row r="19" spans="1:17" ht="12.75">
      <c r="A19" s="1">
        <f t="shared" si="2"/>
        <v>7</v>
      </c>
      <c r="B19" s="5">
        <v>5288065.615019468</v>
      </c>
      <c r="C19" s="5">
        <v>7728168.797233385</v>
      </c>
      <c r="D19" s="5">
        <v>8256211.357257279</v>
      </c>
      <c r="E19" s="5"/>
      <c r="F19" s="5"/>
      <c r="G19" s="5"/>
      <c r="H19" s="5"/>
      <c r="I19" s="5"/>
      <c r="J19" s="5"/>
      <c r="K19" s="5"/>
      <c r="M19" s="7">
        <f>'Ex 3.7 (Parameters)'!M40</f>
        <v>8256211.357257279</v>
      </c>
      <c r="N19" s="7">
        <f>'Ex 3.7 (Parameters)'!N40</f>
        <v>8705378.091909483</v>
      </c>
      <c r="O19" s="7">
        <f t="shared" si="1"/>
        <v>449166.73465220444</v>
      </c>
      <c r="P19" s="7">
        <f t="shared" si="3"/>
        <v>80076.50383670766</v>
      </c>
      <c r="Q19" s="42">
        <f t="shared" si="4"/>
        <v>0.17827790363574436</v>
      </c>
    </row>
    <row r="20" spans="1:17" ht="12.75">
      <c r="A20" s="1">
        <f t="shared" si="2"/>
        <v>8</v>
      </c>
      <c r="B20" s="5">
        <v>5290792.945441608</v>
      </c>
      <c r="C20" s="5">
        <v>7648728.911074035</v>
      </c>
      <c r="D20" s="5"/>
      <c r="E20" s="5"/>
      <c r="F20" s="5"/>
      <c r="G20" s="5"/>
      <c r="H20" s="5"/>
      <c r="I20" s="5"/>
      <c r="J20" s="5"/>
      <c r="K20" s="5"/>
      <c r="M20" s="7">
        <f>'Ex 3.7 (Parameters)'!M41</f>
        <v>7648728.911074035</v>
      </c>
      <c r="N20" s="7">
        <f>'Ex 3.7 (Parameters)'!N41</f>
        <v>8691971.077170545</v>
      </c>
      <c r="O20" s="7">
        <f t="shared" si="1"/>
        <v>1043242.1660965104</v>
      </c>
      <c r="P20" s="7">
        <f t="shared" si="3"/>
        <v>126960.06959669676</v>
      </c>
      <c r="Q20" s="42">
        <f t="shared" si="4"/>
        <v>0.12169760169083473</v>
      </c>
    </row>
    <row r="21" spans="1:17" ht="12.75">
      <c r="A21" s="3">
        <f t="shared" si="2"/>
        <v>9</v>
      </c>
      <c r="B21" s="12">
        <v>5675568.139045331</v>
      </c>
      <c r="C21" s="6"/>
      <c r="D21" s="6"/>
      <c r="E21" s="6"/>
      <c r="F21" s="6"/>
      <c r="G21" s="6"/>
      <c r="H21" s="6"/>
      <c r="I21" s="6"/>
      <c r="J21" s="6"/>
      <c r="K21" s="6"/>
      <c r="M21" s="6">
        <f>'Ex 3.7 (Parameters)'!M42</f>
        <v>5675568.139045331</v>
      </c>
      <c r="N21" s="6">
        <f>'Ex 3.7 (Parameters)'!N42</f>
        <v>9626382.988397779</v>
      </c>
      <c r="O21" s="6">
        <f t="shared" si="1"/>
        <v>3950814.8493524482</v>
      </c>
      <c r="P21" s="6">
        <f t="shared" si="3"/>
        <v>389782.6867774444</v>
      </c>
      <c r="Q21" s="42">
        <f t="shared" si="4"/>
        <v>0.09865880878759253</v>
      </c>
    </row>
    <row r="22" spans="13:17" ht="12.75">
      <c r="M22" s="2"/>
      <c r="N22" s="28" t="s">
        <v>13</v>
      </c>
      <c r="O22" s="29">
        <f>SUM(O12:O21)</f>
        <v>6047060.628814724</v>
      </c>
      <c r="P22" s="29">
        <f>SUMPRODUCT(P13:P21,P13:P21)^(1/2)</f>
        <v>424379.329542522</v>
      </c>
      <c r="Q22" s="43">
        <f t="shared" si="4"/>
        <v>0.0701794401597895</v>
      </c>
    </row>
    <row r="24" spans="1:11" s="10" customFormat="1" ht="12.75">
      <c r="A24" s="21" t="s">
        <v>5</v>
      </c>
      <c r="B24" s="30">
        <f>'Ex 3.7 (Parameters)'!B26</f>
        <v>1.4925359151492918</v>
      </c>
      <c r="C24" s="30">
        <f>'Ex 3.7 (Parameters)'!C26</f>
        <v>1.0777602648654203</v>
      </c>
      <c r="D24" s="30">
        <f>'Ex 3.7 (Parameters)'!D26</f>
        <v>1.0228731638434971</v>
      </c>
      <c r="E24" s="30">
        <f>'Ex 3.7 (Parameters)'!E26</f>
        <v>1.0148409226544672</v>
      </c>
      <c r="F24" s="30">
        <f>'Ex 3.7 (Parameters)'!F26</f>
        <v>1.0069739228849526</v>
      </c>
      <c r="G24" s="30">
        <f>'Ex 3.7 (Parameters)'!G26</f>
        <v>1.005145785685367</v>
      </c>
      <c r="H24" s="30">
        <f>'Ex 3.7 (Parameters)'!H26</f>
        <v>1.0010804036180372</v>
      </c>
      <c r="I24" s="30">
        <f>'Ex 3.7 (Parameters)'!I26</f>
        <v>1.0010467572749087</v>
      </c>
      <c r="J24" s="30">
        <f>'Ex 3.7 (Parameters)'!J26</f>
        <v>1.001420497580888</v>
      </c>
      <c r="K24" s="31"/>
    </row>
    <row r="25" spans="1:11" ht="12.75">
      <c r="A25" s="27" t="s">
        <v>16</v>
      </c>
      <c r="B25" s="25">
        <f>'Ex 3.7 (Parameters)'!B28</f>
        <v>135.25286688404614</v>
      </c>
      <c r="C25" s="25">
        <f>'Ex 3.7 (Parameters)'!C28</f>
        <v>33.802840301703164</v>
      </c>
      <c r="D25" s="25">
        <f>'Ex 3.7 (Parameters)'!D28</f>
        <v>15.759711175774129</v>
      </c>
      <c r="E25" s="25">
        <f>'Ex 3.7 (Parameters)'!E28</f>
        <v>19.846603155035172</v>
      </c>
      <c r="F25" s="25">
        <f>'Ex 3.7 (Parameters)'!F28</f>
        <v>9.336247768642979</v>
      </c>
      <c r="G25" s="25">
        <f>'Ex 3.7 (Parameters)'!G28</f>
        <v>2.0011135517513114</v>
      </c>
      <c r="H25" s="25">
        <f>'Ex 3.7 (Parameters)'!H28</f>
        <v>0.8230718545861337</v>
      </c>
      <c r="I25" s="25">
        <f>'Ex 3.7 (Parameters)'!I28</f>
        <v>0.219432734247422</v>
      </c>
      <c r="J25" s="25">
        <f>'Ex 3.7 (Parameters)'!J28</f>
        <v>0.05850124091961741</v>
      </c>
      <c r="K25" s="2"/>
    </row>
    <row r="27" ht="12.75">
      <c r="A27" s="11" t="s">
        <v>25</v>
      </c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17"/>
      <c r="N28" s="17"/>
      <c r="O28" s="17"/>
    </row>
    <row r="29" spans="1:15" ht="12.75">
      <c r="A29" s="3"/>
      <c r="B29" s="2">
        <v>0</v>
      </c>
      <c r="C29" s="2">
        <f aca="true" t="shared" si="5" ref="C29:K29">B29+1</f>
        <v>1</v>
      </c>
      <c r="D29" s="2">
        <f t="shared" si="5"/>
        <v>2</v>
      </c>
      <c r="E29" s="2">
        <f t="shared" si="5"/>
        <v>3</v>
      </c>
      <c r="F29" s="2">
        <f t="shared" si="5"/>
        <v>4</v>
      </c>
      <c r="G29" s="2">
        <f t="shared" si="5"/>
        <v>5</v>
      </c>
      <c r="H29" s="2">
        <f t="shared" si="5"/>
        <v>6</v>
      </c>
      <c r="I29" s="2">
        <f t="shared" si="5"/>
        <v>7</v>
      </c>
      <c r="J29" s="2">
        <f t="shared" si="5"/>
        <v>8</v>
      </c>
      <c r="K29" s="2">
        <f t="shared" si="5"/>
        <v>9</v>
      </c>
      <c r="M29" s="23" t="s">
        <v>17</v>
      </c>
      <c r="N29" s="17"/>
      <c r="O29" s="17"/>
    </row>
    <row r="30" spans="1:15" ht="12.75">
      <c r="A30" s="1">
        <v>0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M30" s="7"/>
      <c r="N30" s="7"/>
      <c r="O30" s="7"/>
    </row>
    <row r="31" spans="1:15" ht="12.75">
      <c r="A31" s="1">
        <f aca="true" t="shared" si="6" ref="A31:A39">A30+1</f>
        <v>1</v>
      </c>
      <c r="B31" s="32"/>
      <c r="C31" s="32"/>
      <c r="D31" s="32"/>
      <c r="E31" s="32"/>
      <c r="F31" s="32"/>
      <c r="G31" s="32"/>
      <c r="H31" s="32"/>
      <c r="I31" s="32"/>
      <c r="J31" s="34">
        <f>J$25^2/J$24^2/'Ex 3.7 (Parameters)'!J34</f>
        <v>3.204950589674919E-10</v>
      </c>
      <c r="K31" s="35"/>
      <c r="M31" s="40">
        <f>SUM(B31:K31)^(1/2)</f>
        <v>1.7902375791148276E-05</v>
      </c>
      <c r="N31" s="7"/>
      <c r="O31" s="7"/>
    </row>
    <row r="32" spans="1:15" ht="12.75">
      <c r="A32" s="1">
        <f t="shared" si="6"/>
        <v>2</v>
      </c>
      <c r="B32" s="32"/>
      <c r="C32" s="32"/>
      <c r="D32" s="32"/>
      <c r="E32" s="32"/>
      <c r="F32" s="32"/>
      <c r="G32" s="32"/>
      <c r="H32" s="32"/>
      <c r="I32" s="34">
        <f>I$25^2/I$24^2/'Ex 3.7 (Parameters)'!I35</f>
        <v>4.5177889715569E-09</v>
      </c>
      <c r="J32" s="34">
        <f>J$25^2/J$24^2/'Ex 3.7 (Parameters)'!J35</f>
        <v>3.2053442453368085E-10</v>
      </c>
      <c r="K32" s="35"/>
      <c r="M32" s="40">
        <f aca="true" t="shared" si="7" ref="M32:M39">SUM(B32:K32)^(1/2)</f>
        <v>6.955805773661727E-05</v>
      </c>
      <c r="N32" s="7"/>
      <c r="O32" s="7"/>
    </row>
    <row r="33" spans="1:15" ht="12.75">
      <c r="A33" s="1">
        <f t="shared" si="6"/>
        <v>3</v>
      </c>
      <c r="B33" s="32"/>
      <c r="C33" s="32"/>
      <c r="D33" s="32"/>
      <c r="E33" s="32"/>
      <c r="F33" s="32"/>
      <c r="G33" s="32"/>
      <c r="H33" s="34">
        <f>H$25^2/H$24^2/'Ex 3.7 (Parameters)'!H36</f>
        <v>6.951677005273448E-08</v>
      </c>
      <c r="I33" s="34">
        <f>I$25^2/I$24^2/'Ex 3.7 (Parameters)'!I36</f>
        <v>4.9360226794731005E-09</v>
      </c>
      <c r="J33" s="34">
        <f>J$25^2/J$24^2/'Ex 3.7 (Parameters)'!J36</f>
        <v>3.5020785588063197E-10</v>
      </c>
      <c r="K33" s="35"/>
      <c r="M33" s="40">
        <f t="shared" si="7"/>
        <v>0.000273501372186847</v>
      </c>
      <c r="N33" s="7"/>
      <c r="O33" s="7"/>
    </row>
    <row r="34" spans="1:15" ht="12.75">
      <c r="A34" s="1">
        <f t="shared" si="6"/>
        <v>4</v>
      </c>
      <c r="B34" s="32"/>
      <c r="C34" s="32"/>
      <c r="D34" s="32"/>
      <c r="E34" s="32"/>
      <c r="F34" s="32"/>
      <c r="G34" s="34">
        <f>G$25^2/G$24^2/'Ex 3.7 (Parameters)'!G37</f>
        <v>4.0498551552030387E-07</v>
      </c>
      <c r="H34" s="34">
        <f>H$25^2/H$24^2/'Ex 3.7 (Parameters)'!H37</f>
        <v>6.871675815842203E-08</v>
      </c>
      <c r="I34" s="34">
        <f>I$25^2/I$24^2/'Ex 3.7 (Parameters)'!I37</f>
        <v>4.879218014193357E-09</v>
      </c>
      <c r="J34" s="34">
        <f>J$25^2/J$24^2/'Ex 3.7 (Parameters)'!J37</f>
        <v>3.4617759886533004E-10</v>
      </c>
      <c r="K34" s="35"/>
      <c r="M34" s="40">
        <f t="shared" si="7"/>
        <v>0.0006920460022944896</v>
      </c>
      <c r="N34" s="7"/>
      <c r="O34" s="7"/>
    </row>
    <row r="35" spans="1:15" ht="12.75">
      <c r="A35" s="1">
        <f t="shared" si="6"/>
        <v>5</v>
      </c>
      <c r="B35" s="32"/>
      <c r="C35" s="32"/>
      <c r="D35" s="32"/>
      <c r="E35" s="32"/>
      <c r="F35" s="34">
        <f>F$25^2/F$24^2/'Ex 3.7 (Parameters)'!F38</f>
        <v>8.651820564574163E-06</v>
      </c>
      <c r="G35" s="34">
        <f>G$25^2/G$24^2/'Ex 3.7 (Parameters)'!G38</f>
        <v>3.961560970638614E-07</v>
      </c>
      <c r="H35" s="34">
        <f>H$25^2/H$24^2/'Ex 3.7 (Parameters)'!H38</f>
        <v>6.721860825058798E-08</v>
      </c>
      <c r="I35" s="34">
        <f>I$25^2/I$24^2/'Ex 3.7 (Parameters)'!I38</f>
        <v>4.772842215710348E-09</v>
      </c>
      <c r="J35" s="34">
        <f>J$25^2/J$24^2/'Ex 3.7 (Parameters)'!J38</f>
        <v>3.386302996077218E-10</v>
      </c>
      <c r="K35" s="35"/>
      <c r="M35" s="40">
        <f t="shared" si="7"/>
        <v>0.0030199845599611815</v>
      </c>
      <c r="N35" s="7"/>
      <c r="O35" s="7"/>
    </row>
    <row r="36" spans="1:15" ht="12.75">
      <c r="A36" s="1">
        <f t="shared" si="6"/>
        <v>6</v>
      </c>
      <c r="B36" s="32"/>
      <c r="C36" s="32"/>
      <c r="D36" s="32"/>
      <c r="E36" s="34">
        <f>E$25^2/E$24^2/'Ex 3.7 (Parameters)'!E39</f>
        <v>4.120347310279321E-05</v>
      </c>
      <c r="F36" s="34">
        <f>F$25^2/F$24^2/'Ex 3.7 (Parameters)'!F39</f>
        <v>9.125732076796236E-06</v>
      </c>
      <c r="G36" s="34">
        <f>G$25^2/G$24^2/'Ex 3.7 (Parameters)'!G39</f>
        <v>4.178559154586468E-07</v>
      </c>
      <c r="H36" s="34">
        <f>H$25^2/H$24^2/'Ex 3.7 (Parameters)'!H39</f>
        <v>7.090056998889956E-08</v>
      </c>
      <c r="I36" s="34">
        <f>I$25^2/I$24^2/'Ex 3.7 (Parameters)'!I39</f>
        <v>5.0342790838426185E-09</v>
      </c>
      <c r="J36" s="34">
        <f>J$25^2/J$24^2/'Ex 3.7 (Parameters)'!J39</f>
        <v>3.571790889837308E-10</v>
      </c>
      <c r="K36" s="35"/>
      <c r="M36" s="40">
        <f t="shared" si="7"/>
        <v>0.007129049945344037</v>
      </c>
      <c r="N36" s="7"/>
      <c r="O36" s="7"/>
    </row>
    <row r="37" spans="1:15" ht="12.75">
      <c r="A37" s="1">
        <f t="shared" si="6"/>
        <v>7</v>
      </c>
      <c r="B37" s="32"/>
      <c r="C37" s="32"/>
      <c r="D37" s="34">
        <f>D$25^2/D$24^2/'Ex 3.7 (Parameters)'!D40</f>
        <v>2.8752269903974118E-05</v>
      </c>
      <c r="E37" s="34">
        <f>E$25^2/E$24^2/'Ex 3.7 (Parameters)'!E40</f>
        <v>4.528703020020521E-05</v>
      </c>
      <c r="F37" s="34">
        <f>F$25^2/F$24^2/'Ex 3.7 (Parameters)'!F40</f>
        <v>1.0030156999867961E-05</v>
      </c>
      <c r="G37" s="34">
        <f>G$25^2/G$24^2/'Ex 3.7 (Parameters)'!G40</f>
        <v>4.5926840719228834E-07</v>
      </c>
      <c r="H37" s="34">
        <f>H$25^2/H$24^2/'Ex 3.7 (Parameters)'!H40</f>
        <v>7.792732050253769E-08</v>
      </c>
      <c r="I37" s="34">
        <f>I$25^2/I$24^2/'Ex 3.7 (Parameters)'!I40</f>
        <v>5.533211929428022E-09</v>
      </c>
      <c r="J37" s="34">
        <f>J$25^2/J$24^2/'Ex 3.7 (Parameters)'!J40</f>
        <v>3.9257807586592607E-10</v>
      </c>
      <c r="K37" s="35"/>
      <c r="M37" s="40">
        <f t="shared" si="7"/>
        <v>0.009198509586979153</v>
      </c>
      <c r="N37" s="7"/>
      <c r="O37" s="7"/>
    </row>
    <row r="38" spans="1:15" ht="12.75">
      <c r="A38" s="1">
        <f t="shared" si="6"/>
        <v>8</v>
      </c>
      <c r="B38" s="32"/>
      <c r="C38" s="34">
        <f>C$25^2/C$24^2/'Ex 3.7 (Parameters)'!C41</f>
        <v>0.00012860942091113254</v>
      </c>
      <c r="D38" s="34">
        <f>D$25^2/D$24^2/'Ex 3.7 (Parameters)'!D41</f>
        <v>2.879661912038982E-05</v>
      </c>
      <c r="E38" s="34">
        <f>E$25^2/E$24^2/'Ex 3.7 (Parameters)'!E41</f>
        <v>4.535688361733997E-05</v>
      </c>
      <c r="F38" s="34">
        <f>F$25^2/F$24^2/'Ex 3.7 (Parameters)'!F41</f>
        <v>1.0045628112408163E-05</v>
      </c>
      <c r="G38" s="34">
        <f>G$25^2/G$24^2/'Ex 3.7 (Parameters)'!G41</f>
        <v>4.5997681018278234E-07</v>
      </c>
      <c r="H38" s="34">
        <f>H$25^2/H$24^2/'Ex 3.7 (Parameters)'!H41</f>
        <v>7.804752025070384E-08</v>
      </c>
      <c r="I38" s="34">
        <f>I$25^2/I$24^2/'Ex 3.7 (Parameters)'!I41</f>
        <v>5.5417466856108115E-09</v>
      </c>
      <c r="J38" s="34">
        <f>J$25^2/J$24^2/'Ex 3.7 (Parameters)'!J41</f>
        <v>3.9318361171074065E-10</v>
      </c>
      <c r="K38" s="35"/>
      <c r="M38" s="40">
        <f t="shared" si="7"/>
        <v>0.014606591355343701</v>
      </c>
      <c r="N38" s="7"/>
      <c r="O38" s="7"/>
    </row>
    <row r="39" spans="1:15" ht="12.75">
      <c r="A39" s="3">
        <f t="shared" si="6"/>
        <v>9</v>
      </c>
      <c r="B39" s="37">
        <f>B$25^2/B$24^2/'Ex 3.7 (Parameters)'!B42</f>
        <v>0.001446885071907475</v>
      </c>
      <c r="C39" s="37">
        <f>C$25^2/C$24^2/'Ex 3.7 (Parameters)'!C42</f>
        <v>0.0001161255861270564</v>
      </c>
      <c r="D39" s="37">
        <f>D$25^2/D$24^2/'Ex 3.7 (Parameters)'!D42</f>
        <v>2.6001394377971304E-05</v>
      </c>
      <c r="E39" s="37">
        <f>E$25^2/E$24^2/'Ex 3.7 (Parameters)'!E42</f>
        <v>4.095419027350867E-05</v>
      </c>
      <c r="F39" s="37">
        <f>F$25^2/F$24^2/'Ex 3.7 (Parameters)'!F42</f>
        <v>9.070520995300237E-06</v>
      </c>
      <c r="G39" s="37">
        <f>G$25^2/G$24^2/'Ex 3.7 (Parameters)'!G42</f>
        <v>4.1532786874328983E-07</v>
      </c>
      <c r="H39" s="37">
        <f>H$25^2/H$24^2/'Ex 3.7 (Parameters)'!H42</f>
        <v>7.047161841385571E-08</v>
      </c>
      <c r="I39" s="37">
        <f>I$25^2/I$24^2/'Ex 3.7 (Parameters)'!I42</f>
        <v>5.0038214733810564E-09</v>
      </c>
      <c r="J39" s="37">
        <f>J$25^2/J$24^2/'Ex 3.7 (Parameters)'!J42</f>
        <v>3.5501813974430593E-10</v>
      </c>
      <c r="K39" s="36"/>
      <c r="M39" s="41">
        <f t="shared" si="7"/>
        <v>0.040491084475574146</v>
      </c>
      <c r="N39" s="7"/>
      <c r="O39" s="7"/>
    </row>
    <row r="40" spans="13:15" ht="12.75">
      <c r="M40" s="10"/>
      <c r="N40" s="38"/>
      <c r="O40" s="39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19" width="10.7109375" style="0" customWidth="1"/>
  </cols>
  <sheetData>
    <row r="1" spans="1:2" ht="12.75">
      <c r="A1" s="11" t="s">
        <v>1</v>
      </c>
      <c r="B1" s="11"/>
    </row>
    <row r="2" s="13" customFormat="1" ht="12.75" customHeight="1">
      <c r="A2" s="13" t="s">
        <v>50</v>
      </c>
    </row>
    <row r="3" s="13" customFormat="1" ht="12.75" customHeight="1">
      <c r="A3" s="13" t="s">
        <v>2</v>
      </c>
    </row>
    <row r="4" s="13" customFormat="1" ht="12.75" customHeight="1">
      <c r="A4" t="s">
        <v>51</v>
      </c>
    </row>
    <row r="5" s="13" customFormat="1" ht="12.75"/>
    <row r="6" ht="15.75">
      <c r="A6" s="4" t="s">
        <v>49</v>
      </c>
    </row>
    <row r="7" ht="12.75">
      <c r="A7" t="s">
        <v>23</v>
      </c>
    </row>
    <row r="8" ht="12.75">
      <c r="M8" s="11" t="s">
        <v>48</v>
      </c>
    </row>
    <row r="9" ht="12.75">
      <c r="A9" s="11" t="s">
        <v>0</v>
      </c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16" t="s">
        <v>7</v>
      </c>
      <c r="N10" s="16" t="s">
        <v>9</v>
      </c>
      <c r="O10" s="16" t="s">
        <v>11</v>
      </c>
      <c r="P10" s="16" t="s">
        <v>35</v>
      </c>
      <c r="Q10" s="16" t="s">
        <v>20</v>
      </c>
      <c r="R10" s="16" t="s">
        <v>36</v>
      </c>
      <c r="S10" s="16" t="s">
        <v>20</v>
      </c>
    </row>
    <row r="11" spans="1:19" ht="12.75">
      <c r="A11" s="3"/>
      <c r="B11" s="2">
        <v>0</v>
      </c>
      <c r="C11" s="2">
        <f aca="true" t="shared" si="0" ref="C11:K11">B11+1</f>
        <v>1</v>
      </c>
      <c r="D11" s="2">
        <f t="shared" si="0"/>
        <v>2</v>
      </c>
      <c r="E11" s="2">
        <f t="shared" si="0"/>
        <v>3</v>
      </c>
      <c r="F11" s="2">
        <f t="shared" si="0"/>
        <v>4</v>
      </c>
      <c r="G11" s="2">
        <f t="shared" si="0"/>
        <v>5</v>
      </c>
      <c r="H11" s="2">
        <f t="shared" si="0"/>
        <v>6</v>
      </c>
      <c r="I11" s="2">
        <f t="shared" si="0"/>
        <v>7</v>
      </c>
      <c r="J11" s="2">
        <f t="shared" si="0"/>
        <v>8</v>
      </c>
      <c r="K11" s="2">
        <f t="shared" si="0"/>
        <v>9</v>
      </c>
      <c r="M11" s="17" t="s">
        <v>8</v>
      </c>
      <c r="N11" s="17" t="s">
        <v>10</v>
      </c>
      <c r="O11" s="17" t="s">
        <v>12</v>
      </c>
      <c r="P11" s="17" t="s">
        <v>37</v>
      </c>
      <c r="Q11" s="17"/>
      <c r="R11" s="17" t="s">
        <v>37</v>
      </c>
      <c r="S11" s="17"/>
    </row>
    <row r="12" spans="1:19" ht="12.75">
      <c r="A12" s="1">
        <v>0</v>
      </c>
      <c r="B12" s="5">
        <v>5946975.449999999</v>
      </c>
      <c r="C12" s="5">
        <v>9668212.035</v>
      </c>
      <c r="D12" s="5">
        <v>10563929.325</v>
      </c>
      <c r="E12" s="5">
        <v>10771689.655</v>
      </c>
      <c r="F12" s="5">
        <v>10978393.645</v>
      </c>
      <c r="G12" s="5">
        <v>11040517.795</v>
      </c>
      <c r="H12" s="5">
        <v>11106331.215</v>
      </c>
      <c r="I12" s="5">
        <v>11121180.875</v>
      </c>
      <c r="J12" s="5">
        <v>11132310.405</v>
      </c>
      <c r="K12" s="5">
        <v>11148123.825</v>
      </c>
      <c r="M12" s="18">
        <f>'Ex 3.7 (Parameters)'!M33</f>
        <v>11148123.825</v>
      </c>
      <c r="N12" s="18">
        <f>'Ex 3.7 (Parameters)'!N33</f>
        <v>11148123.825</v>
      </c>
      <c r="O12" s="18">
        <f aca="true" t="shared" si="1" ref="O12:O21">N12-M12</f>
        <v>0</v>
      </c>
      <c r="P12" s="18"/>
      <c r="Q12" s="18"/>
      <c r="R12" s="18"/>
      <c r="S12" s="18"/>
    </row>
    <row r="13" spans="1:19" ht="12.75">
      <c r="A13" s="1">
        <f aca="true" t="shared" si="2" ref="A13:A21">A12+1</f>
        <v>1</v>
      </c>
      <c r="B13" s="5">
        <v>6346756.121088335</v>
      </c>
      <c r="C13" s="5">
        <v>9593161.71022243</v>
      </c>
      <c r="D13" s="5">
        <v>10316383.455589319</v>
      </c>
      <c r="E13" s="5">
        <v>10468180.234918753</v>
      </c>
      <c r="F13" s="5">
        <v>10536004.327810626</v>
      </c>
      <c r="G13" s="5">
        <v>10572607.806514177</v>
      </c>
      <c r="H13" s="5">
        <v>10625359.878763413</v>
      </c>
      <c r="I13" s="5">
        <v>10636546.271505505</v>
      </c>
      <c r="J13" s="5">
        <v>10648191.800681584</v>
      </c>
      <c r="K13" s="5"/>
      <c r="M13" s="7">
        <f>'Ex 3.7 (Parameters)'!M34</f>
        <v>10648191.800681584</v>
      </c>
      <c r="N13" s="7">
        <f>'Ex 3.7 (Parameters)'!N34</f>
        <v>10663317.531375283</v>
      </c>
      <c r="O13" s="7">
        <f t="shared" si="1"/>
        <v>15125.730693699792</v>
      </c>
      <c r="P13" s="7">
        <f>INDEX(B$35:J$35,J$30-A13+2)*N13</f>
        <v>186.70170174035476</v>
      </c>
      <c r="Q13" s="44">
        <f aca="true" t="shared" si="3" ref="Q13:Q22">P13/O13</f>
        <v>0.012343317854926521</v>
      </c>
      <c r="R13" s="7">
        <f>(P13^2+'Ex 3.7 (Process Error)'!P13^2)^(1/2)</f>
        <v>267.0203097601099</v>
      </c>
      <c r="S13" s="44">
        <f>R13/O13</f>
        <v>0.01765338251535378</v>
      </c>
    </row>
    <row r="14" spans="1:19" ht="12.75">
      <c r="A14" s="1">
        <f t="shared" si="2"/>
        <v>2</v>
      </c>
      <c r="B14" s="5">
        <v>6269090.211232325</v>
      </c>
      <c r="C14" s="5">
        <v>9245313.272709705</v>
      </c>
      <c r="D14" s="5">
        <v>10092365.968752814</v>
      </c>
      <c r="E14" s="5">
        <v>10355134.288356848</v>
      </c>
      <c r="F14" s="5">
        <v>10507837.38729655</v>
      </c>
      <c r="G14" s="5">
        <v>10573281.572556423</v>
      </c>
      <c r="H14" s="5">
        <v>10626826.815041773</v>
      </c>
      <c r="I14" s="5">
        <v>10635751.022122664</v>
      </c>
      <c r="J14" s="5"/>
      <c r="K14" s="5"/>
      <c r="M14" s="7">
        <f>'Ex 3.7 (Parameters)'!M35</f>
        <v>10635751.022122664</v>
      </c>
      <c r="N14" s="7">
        <f>'Ex 3.7 (Parameters)'!N35</f>
        <v>10662007.944947287</v>
      </c>
      <c r="O14" s="7">
        <f t="shared" si="1"/>
        <v>26256.922824623063</v>
      </c>
      <c r="P14" s="7">
        <f aca="true" t="shared" si="4" ref="P14:P21">INDEX(B$35:J$35,J$30-A14+2)*N14</f>
        <v>534.6943074947657</v>
      </c>
      <c r="Q14" s="44">
        <f t="shared" si="3"/>
        <v>0.02036393643939659</v>
      </c>
      <c r="R14" s="7">
        <f>(P14^2+'Ex 3.7 (Process Error)'!P14^2)^(1/2)</f>
        <v>914.2816468346339</v>
      </c>
      <c r="S14" s="44">
        <f aca="true" t="shared" si="5" ref="S14:S22">R14/O14</f>
        <v>0.03482059390361022</v>
      </c>
    </row>
    <row r="15" spans="1:19" ht="12.75">
      <c r="A15" s="1">
        <f t="shared" si="2"/>
        <v>3</v>
      </c>
      <c r="B15" s="5">
        <v>5863014.807540223</v>
      </c>
      <c r="C15" s="5">
        <v>8546239.11002354</v>
      </c>
      <c r="D15" s="5">
        <v>9268770.831745785</v>
      </c>
      <c r="E15" s="5">
        <v>9459423.557167532</v>
      </c>
      <c r="F15" s="5">
        <v>9592399.150740609</v>
      </c>
      <c r="G15" s="5">
        <v>9680739.580037408</v>
      </c>
      <c r="H15" s="5">
        <v>9724068.209757265</v>
      </c>
      <c r="I15" s="5"/>
      <c r="J15" s="5"/>
      <c r="K15" s="5"/>
      <c r="M15" s="7">
        <f>'Ex 3.7 (Parameters)'!M36</f>
        <v>9724068.209757265</v>
      </c>
      <c r="N15" s="7">
        <f>'Ex 3.7 (Parameters)'!N36</f>
        <v>9758606.278015869</v>
      </c>
      <c r="O15" s="7">
        <f t="shared" si="1"/>
        <v>34538.068258604035</v>
      </c>
      <c r="P15" s="7">
        <f t="shared" si="4"/>
        <v>1492.9544295902767</v>
      </c>
      <c r="Q15" s="44">
        <f t="shared" si="3"/>
        <v>0.043226344288040945</v>
      </c>
      <c r="R15" s="7">
        <f>(P15^2+'Ex 3.7 (Process Error)'!P15^2)^(1/2)</f>
        <v>3058.17467346594</v>
      </c>
      <c r="S15" s="44">
        <f t="shared" si="5"/>
        <v>0.08854504109980428</v>
      </c>
    </row>
    <row r="16" spans="1:19" ht="12.75">
      <c r="A16" s="1">
        <f t="shared" si="2"/>
        <v>4</v>
      </c>
      <c r="B16" s="5">
        <v>5778885.359646133</v>
      </c>
      <c r="C16" s="5">
        <v>8524114.268910643</v>
      </c>
      <c r="D16" s="5">
        <v>9178008.629228268</v>
      </c>
      <c r="E16" s="5">
        <v>9451404.116085205</v>
      </c>
      <c r="F16" s="5">
        <v>9681691.672127554</v>
      </c>
      <c r="G16" s="5">
        <v>9786916.051948782</v>
      </c>
      <c r="H16" s="5"/>
      <c r="I16" s="5"/>
      <c r="J16" s="5"/>
      <c r="K16" s="5"/>
      <c r="M16" s="7">
        <f>'Ex 3.7 (Parameters)'!M37</f>
        <v>9786916.051948782</v>
      </c>
      <c r="N16" s="7">
        <f>'Ex 3.7 (Parameters)'!N37</f>
        <v>9872217.590649772</v>
      </c>
      <c r="O16" s="7">
        <f t="shared" si="1"/>
        <v>85301.53870099038</v>
      </c>
      <c r="P16" s="7">
        <f t="shared" si="4"/>
        <v>3392.301335591579</v>
      </c>
      <c r="Q16" s="44">
        <f t="shared" si="3"/>
        <v>0.03976834869864069</v>
      </c>
      <c r="R16" s="7">
        <f>(P16^2+'Ex 3.7 (Process Error)'!P16^2)^(1/2)</f>
        <v>7627.865018909621</v>
      </c>
      <c r="S16" s="44">
        <f t="shared" si="5"/>
        <v>0.08942236136733438</v>
      </c>
    </row>
    <row r="17" spans="1:19" ht="12.75">
      <c r="A17" s="1">
        <f t="shared" si="2"/>
        <v>5</v>
      </c>
      <c r="B17" s="5">
        <v>6184793.399572363</v>
      </c>
      <c r="C17" s="5">
        <v>9013131.87453573</v>
      </c>
      <c r="D17" s="5">
        <v>9585896.654940045</v>
      </c>
      <c r="E17" s="5">
        <v>9830796.08111641</v>
      </c>
      <c r="F17" s="5">
        <v>9935752.978049139</v>
      </c>
      <c r="G17" s="5"/>
      <c r="H17" s="5"/>
      <c r="I17" s="5"/>
      <c r="J17" s="5"/>
      <c r="K17" s="5"/>
      <c r="M17" s="7">
        <f>'Ex 3.7 (Parameters)'!M38</f>
        <v>9935752.978049139</v>
      </c>
      <c r="N17" s="7">
        <f>'Ex 3.7 (Parameters)'!N38</f>
        <v>10092246.869125947</v>
      </c>
      <c r="O17" s="7">
        <f t="shared" si="1"/>
        <v>156493.8910768088</v>
      </c>
      <c r="P17" s="7">
        <f t="shared" si="4"/>
        <v>13517.113224677345</v>
      </c>
      <c r="Q17" s="44">
        <f t="shared" si="3"/>
        <v>0.08637470211564366</v>
      </c>
      <c r="R17" s="7">
        <f>(P17^2+'Ex 3.7 (Process Error)'!P17^2)^(1/2)</f>
        <v>33341.37111953281</v>
      </c>
      <c r="S17" s="44">
        <f t="shared" si="5"/>
        <v>0.21305222133666882</v>
      </c>
    </row>
    <row r="18" spans="1:19" ht="12.75">
      <c r="A18" s="1">
        <f t="shared" si="2"/>
        <v>6</v>
      </c>
      <c r="B18" s="5">
        <v>5600184.39631737</v>
      </c>
      <c r="C18" s="5">
        <v>8493391.299402948</v>
      </c>
      <c r="D18" s="5">
        <v>9056505.210042793</v>
      </c>
      <c r="E18" s="5">
        <v>9282022.219649784</v>
      </c>
      <c r="F18" s="5"/>
      <c r="G18" s="5"/>
      <c r="H18" s="5"/>
      <c r="I18" s="5"/>
      <c r="J18" s="5"/>
      <c r="K18" s="5"/>
      <c r="M18" s="7">
        <f>'Ex 3.7 (Parameters)'!M39</f>
        <v>9282022.219649784</v>
      </c>
      <c r="N18" s="7">
        <f>'Ex 3.7 (Parameters)'!N39</f>
        <v>9568142.94680862</v>
      </c>
      <c r="O18" s="7">
        <f t="shared" si="1"/>
        <v>286120.72715883516</v>
      </c>
      <c r="P18" s="7">
        <f t="shared" si="4"/>
        <v>27286.0156839141</v>
      </c>
      <c r="Q18" s="44">
        <f t="shared" si="3"/>
        <v>0.09536539332491882</v>
      </c>
      <c r="R18" s="7">
        <f>(P18^2+'Ex 3.7 (Process Error)'!P18^2)^(1/2)</f>
        <v>73466.80934587034</v>
      </c>
      <c r="S18" s="44">
        <f t="shared" si="5"/>
        <v>0.2567685678538293</v>
      </c>
    </row>
    <row r="19" spans="1:19" ht="12.75">
      <c r="A19" s="1">
        <f t="shared" si="2"/>
        <v>7</v>
      </c>
      <c r="B19" s="5">
        <v>5288065.615019468</v>
      </c>
      <c r="C19" s="5">
        <v>7728168.797233385</v>
      </c>
      <c r="D19" s="5">
        <v>8256211.357257279</v>
      </c>
      <c r="E19" s="5"/>
      <c r="F19" s="5"/>
      <c r="G19" s="5"/>
      <c r="H19" s="5"/>
      <c r="I19" s="5"/>
      <c r="J19" s="5"/>
      <c r="K19" s="5"/>
      <c r="M19" s="7">
        <f>'Ex 3.7 (Parameters)'!M40</f>
        <v>8256211.357257279</v>
      </c>
      <c r="N19" s="7">
        <f>'Ex 3.7 (Parameters)'!N40</f>
        <v>8705378.091909483</v>
      </c>
      <c r="O19" s="7">
        <f t="shared" si="1"/>
        <v>449166.73465220444</v>
      </c>
      <c r="P19" s="7">
        <f t="shared" si="4"/>
        <v>29675.41316566764</v>
      </c>
      <c r="Q19" s="44">
        <f t="shared" si="3"/>
        <v>0.06606770020189873</v>
      </c>
      <c r="R19" s="7">
        <f>(P19^2+'Ex 3.7 (Process Error)'!P19^2)^(1/2)</f>
        <v>85398.34081095099</v>
      </c>
      <c r="S19" s="44">
        <f t="shared" si="5"/>
        <v>0.19012614742513384</v>
      </c>
    </row>
    <row r="20" spans="1:19" ht="12.75">
      <c r="A20" s="1">
        <f t="shared" si="2"/>
        <v>8</v>
      </c>
      <c r="B20" s="5">
        <v>5290792.945441608</v>
      </c>
      <c r="C20" s="5">
        <v>7648728.911074035</v>
      </c>
      <c r="D20" s="5"/>
      <c r="E20" s="5"/>
      <c r="F20" s="5"/>
      <c r="G20" s="5"/>
      <c r="H20" s="5"/>
      <c r="I20" s="5"/>
      <c r="J20" s="5"/>
      <c r="K20" s="5"/>
      <c r="M20" s="7">
        <f>'Ex 3.7 (Parameters)'!M41</f>
        <v>7648728.911074035</v>
      </c>
      <c r="N20" s="7">
        <f>'Ex 3.7 (Parameters)'!N41</f>
        <v>8691971.077170545</v>
      </c>
      <c r="O20" s="7">
        <f t="shared" si="1"/>
        <v>1043242.1660965104</v>
      </c>
      <c r="P20" s="7">
        <f t="shared" si="4"/>
        <v>43902.82867866447</v>
      </c>
      <c r="Q20" s="44">
        <f t="shared" si="3"/>
        <v>0.042083065759252504</v>
      </c>
      <c r="R20" s="7">
        <f>(P20^2+'Ex 3.7 (Process Error)'!P20^2)^(1/2)</f>
        <v>134336.58339404888</v>
      </c>
      <c r="S20" s="44">
        <f t="shared" si="5"/>
        <v>0.12876836055879035</v>
      </c>
    </row>
    <row r="21" spans="1:19" ht="12.75">
      <c r="A21" s="3">
        <f t="shared" si="2"/>
        <v>9</v>
      </c>
      <c r="B21" s="12">
        <v>5675568.139045331</v>
      </c>
      <c r="C21" s="6"/>
      <c r="D21" s="6"/>
      <c r="E21" s="6"/>
      <c r="F21" s="6"/>
      <c r="G21" s="6"/>
      <c r="H21" s="6"/>
      <c r="I21" s="6"/>
      <c r="J21" s="6"/>
      <c r="K21" s="6"/>
      <c r="M21" s="6">
        <f>'Ex 3.7 (Parameters)'!M42</f>
        <v>5675568.139045331</v>
      </c>
      <c r="N21" s="6">
        <f>'Ex 3.7 (Parameters)'!N42</f>
        <v>9626382.988397779</v>
      </c>
      <c r="O21" s="6">
        <f t="shared" si="1"/>
        <v>3950814.8493524482</v>
      </c>
      <c r="P21" s="7">
        <f t="shared" si="4"/>
        <v>129770.37934180032</v>
      </c>
      <c r="Q21" s="44">
        <f t="shared" si="3"/>
        <v>0.03284648465950515</v>
      </c>
      <c r="R21" s="7">
        <f>(P21^2+'Ex 3.7 (Process Error)'!P21^2)^(1/2)</f>
        <v>410817.3490323383</v>
      </c>
      <c r="S21" s="44">
        <f t="shared" si="5"/>
        <v>0.10398294141768567</v>
      </c>
    </row>
    <row r="22" spans="13:19" ht="12.75">
      <c r="M22" s="2"/>
      <c r="N22" s="28" t="s">
        <v>13</v>
      </c>
      <c r="O22" s="29">
        <f>SUM(O12:O21)</f>
        <v>6047060.628814724</v>
      </c>
      <c r="P22" s="19">
        <f>(SUMPRODUCT(P13:P21,P13:P21)+N52^2)^(1/2)</f>
        <v>185025.61571639677</v>
      </c>
      <c r="Q22" s="43">
        <f t="shared" si="3"/>
        <v>0.030597612141465065</v>
      </c>
      <c r="R22" s="19">
        <f>(P22^2+'Ex 3.7 (Process Error)'!P22^2)^(1/2)</f>
        <v>462960.35879348486</v>
      </c>
      <c r="S22" s="43">
        <f t="shared" si="5"/>
        <v>0.07655956955143495</v>
      </c>
    </row>
    <row r="24" spans="1:11" s="10" customFormat="1" ht="12.75">
      <c r="A24" s="21" t="s">
        <v>5</v>
      </c>
      <c r="B24" s="30">
        <f>'Ex 3.7 (Parameters)'!B26</f>
        <v>1.4925359151492918</v>
      </c>
      <c r="C24" s="30">
        <f>'Ex 3.7 (Parameters)'!C26</f>
        <v>1.0777602648654203</v>
      </c>
      <c r="D24" s="30">
        <f>'Ex 3.7 (Parameters)'!D26</f>
        <v>1.0228731638434971</v>
      </c>
      <c r="E24" s="30">
        <f>'Ex 3.7 (Parameters)'!E26</f>
        <v>1.0148409226544672</v>
      </c>
      <c r="F24" s="30">
        <f>'Ex 3.7 (Parameters)'!F26</f>
        <v>1.0069739228849526</v>
      </c>
      <c r="G24" s="30">
        <f>'Ex 3.7 (Parameters)'!G26</f>
        <v>1.005145785685367</v>
      </c>
      <c r="H24" s="30">
        <f>'Ex 3.7 (Parameters)'!H26</f>
        <v>1.0010804036180372</v>
      </c>
      <c r="I24" s="30">
        <f>'Ex 3.7 (Parameters)'!I26</f>
        <v>1.0010467572749087</v>
      </c>
      <c r="J24" s="30">
        <f>'Ex 3.7 (Parameters)'!J26</f>
        <v>1.001420497580888</v>
      </c>
      <c r="K24" s="31"/>
    </row>
    <row r="25" spans="1:10" s="10" customFormat="1" ht="12.75">
      <c r="A25" s="1" t="s">
        <v>24</v>
      </c>
      <c r="B25" s="7">
        <f>'Ex 3.7 (Parameters)'!B24-'Ex 3.7 (Parameters)'!B25</f>
        <v>52568558.30585783</v>
      </c>
      <c r="C25" s="7">
        <f>'Ex 3.7 (Parameters)'!C24-'Ex 3.7 (Parameters)'!C25</f>
        <v>70811732.36803839</v>
      </c>
      <c r="D25" s="7">
        <f>'Ex 3.7 (Parameters)'!D24-'Ex 3.7 (Parameters)'!D25</f>
        <v>68061860.07529902</v>
      </c>
      <c r="E25" s="7">
        <f>'Ex 3.7 (Parameters)'!E24-'Ex 3.7 (Parameters)'!E25</f>
        <v>60336627.93264473</v>
      </c>
      <c r="F25" s="7">
        <f>'Ex 3.7 (Parameters)'!F24-'Ex 3.7 (Parameters)'!F25</f>
        <v>51296326.18297534</v>
      </c>
      <c r="G25" s="7">
        <f>'Ex 3.7 (Parameters)'!G24-'Ex 3.7 (Parameters)'!G25</f>
        <v>41867146.754108</v>
      </c>
      <c r="H25" s="7">
        <f>'Ex 3.7 (Parameters)'!H24-'Ex 3.7 (Parameters)'!H25</f>
        <v>32358517.90880518</v>
      </c>
      <c r="I25" s="7">
        <f>'Ex 3.7 (Parameters)'!I24-'Ex 3.7 (Parameters)'!I25</f>
        <v>21757727.146505505</v>
      </c>
      <c r="J25" s="7">
        <f>'Ex 3.7 (Parameters)'!J24-'Ex 3.7 (Parameters)'!J25</f>
        <v>11132310.405000001</v>
      </c>
    </row>
    <row r="26" spans="1:11" ht="12.75">
      <c r="A26" s="27" t="s">
        <v>16</v>
      </c>
      <c r="B26" s="25">
        <f>'Ex 3.7 (Parameters)'!B28</f>
        <v>135.25286688404614</v>
      </c>
      <c r="C26" s="25">
        <f>'Ex 3.7 (Parameters)'!C28</f>
        <v>33.802840301703164</v>
      </c>
      <c r="D26" s="25">
        <f>'Ex 3.7 (Parameters)'!D28</f>
        <v>15.759711175774129</v>
      </c>
      <c r="E26" s="25">
        <f>'Ex 3.7 (Parameters)'!E28</f>
        <v>19.846603155035172</v>
      </c>
      <c r="F26" s="25">
        <f>'Ex 3.7 (Parameters)'!F28</f>
        <v>9.336247768642979</v>
      </c>
      <c r="G26" s="25">
        <f>'Ex 3.7 (Parameters)'!G28</f>
        <v>2.0011135517513114</v>
      </c>
      <c r="H26" s="25">
        <f>'Ex 3.7 (Parameters)'!H28</f>
        <v>0.8230718545861337</v>
      </c>
      <c r="I26" s="25">
        <f>'Ex 3.7 (Parameters)'!I28</f>
        <v>0.219432734247422</v>
      </c>
      <c r="J26" s="25">
        <f>'Ex 3.7 (Parameters)'!J28</f>
        <v>0.05850124091961741</v>
      </c>
      <c r="K26" s="2"/>
    </row>
    <row r="28" ht="12.75">
      <c r="A28" s="11" t="s">
        <v>27</v>
      </c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  <c r="O29" s="17"/>
    </row>
    <row r="30" spans="1:15" ht="12.75">
      <c r="A30" s="21"/>
      <c r="B30" s="31">
        <v>0</v>
      </c>
      <c r="C30" s="31">
        <f aca="true" t="shared" si="6" ref="C30:K30">B30+1</f>
        <v>1</v>
      </c>
      <c r="D30" s="31">
        <f t="shared" si="6"/>
        <v>2</v>
      </c>
      <c r="E30" s="31">
        <f t="shared" si="6"/>
        <v>3</v>
      </c>
      <c r="F30" s="31">
        <f t="shared" si="6"/>
        <v>4</v>
      </c>
      <c r="G30" s="31">
        <f t="shared" si="6"/>
        <v>5</v>
      </c>
      <c r="H30" s="31">
        <f t="shared" si="6"/>
        <v>6</v>
      </c>
      <c r="I30" s="31">
        <f t="shared" si="6"/>
        <v>7</v>
      </c>
      <c r="J30" s="31">
        <f t="shared" si="6"/>
        <v>8</v>
      </c>
      <c r="K30" s="31">
        <f t="shared" si="6"/>
        <v>9</v>
      </c>
      <c r="M30" s="17"/>
      <c r="N30" s="17"/>
      <c r="O30" s="17"/>
    </row>
    <row r="31" spans="1:15" ht="12.75">
      <c r="A31" s="1" t="s">
        <v>28</v>
      </c>
      <c r="B31" s="22">
        <f>1+B$26^2/B24^2/B$25</f>
        <v>1.00015621304977</v>
      </c>
      <c r="C31" s="22">
        <f aca="true" t="shared" si="7" ref="C31:J31">1+C$26^2/C24^2/C$25</f>
        <v>1.0000138917459447</v>
      </c>
      <c r="D31" s="22">
        <f t="shared" si="7"/>
        <v>1.0000034877803379</v>
      </c>
      <c r="E31" s="22">
        <f t="shared" si="7"/>
        <v>1.0000063386298832</v>
      </c>
      <c r="F31" s="22">
        <f t="shared" si="7"/>
        <v>1.0000016757993864</v>
      </c>
      <c r="G31" s="22">
        <f t="shared" si="7"/>
        <v>1.0000000946699155</v>
      </c>
      <c r="H31" s="22">
        <f t="shared" si="7"/>
        <v>1.000000020890506</v>
      </c>
      <c r="I31" s="22">
        <f t="shared" si="7"/>
        <v>1.0000000022084143</v>
      </c>
      <c r="J31" s="22">
        <f t="shared" si="7"/>
        <v>1.0000000003065574</v>
      </c>
      <c r="K31" s="35"/>
      <c r="M31" s="7"/>
      <c r="N31" s="7"/>
      <c r="O31" s="7"/>
    </row>
    <row r="32" spans="1:15" ht="12.75">
      <c r="A32" s="1" t="s">
        <v>29</v>
      </c>
      <c r="B32" s="22">
        <f aca="true" t="shared" si="8" ref="B32:I32">C32*B31</f>
        <v>1.0001817292674209</v>
      </c>
      <c r="C32" s="22">
        <f t="shared" si="8"/>
        <v>1.0000255122323072</v>
      </c>
      <c r="D32" s="22">
        <f t="shared" si="8"/>
        <v>1.0000116203249358</v>
      </c>
      <c r="E32" s="22">
        <f t="shared" si="8"/>
        <v>1.0000081325162335</v>
      </c>
      <c r="F32" s="22">
        <f t="shared" si="8"/>
        <v>1.0000017938749797</v>
      </c>
      <c r="G32" s="22">
        <f t="shared" si="8"/>
        <v>1.0000001180753955</v>
      </c>
      <c r="H32" s="22">
        <f t="shared" si="8"/>
        <v>1.0000000234054778</v>
      </c>
      <c r="I32" s="22">
        <f t="shared" si="8"/>
        <v>1.0000000025149718</v>
      </c>
      <c r="J32" s="22">
        <f>K32*J31</f>
        <v>1.0000000003065574</v>
      </c>
      <c r="K32" s="10">
        <v>1</v>
      </c>
      <c r="M32" s="38"/>
      <c r="N32" s="38"/>
      <c r="O32" s="39"/>
    </row>
    <row r="33" spans="1:11" ht="12.75">
      <c r="A33" s="26" t="s">
        <v>30</v>
      </c>
      <c r="B33" s="22">
        <v>1</v>
      </c>
      <c r="C33" s="22">
        <v>1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10">
        <v>1</v>
      </c>
    </row>
    <row r="34" spans="1:11" ht="12.75">
      <c r="A34" s="26" t="s">
        <v>31</v>
      </c>
      <c r="B34" s="40">
        <f>B32-B33</f>
        <v>0.00018172926742088258</v>
      </c>
      <c r="C34" s="40">
        <f aca="true" t="shared" si="9" ref="C34:J34">C32-C33</f>
        <v>2.5512232307178806E-05</v>
      </c>
      <c r="D34" s="40">
        <f t="shared" si="9"/>
        <v>1.1620324935845971E-05</v>
      </c>
      <c r="E34" s="40">
        <f t="shared" si="9"/>
        <v>8.132516233549936E-06</v>
      </c>
      <c r="F34" s="40">
        <f t="shared" si="9"/>
        <v>1.7938749796719833E-06</v>
      </c>
      <c r="G34" s="40">
        <f t="shared" si="9"/>
        <v>1.1807539546104806E-07</v>
      </c>
      <c r="H34" s="40">
        <f t="shared" si="9"/>
        <v>2.3405477778126738E-08</v>
      </c>
      <c r="I34" s="40">
        <f t="shared" si="9"/>
        <v>2.5149717863826027E-09</v>
      </c>
      <c r="J34" s="40">
        <f t="shared" si="9"/>
        <v>3.065574460947573E-10</v>
      </c>
      <c r="K34" s="40"/>
    </row>
    <row r="35" spans="1:11" ht="12.75">
      <c r="A35" s="27" t="s">
        <v>32</v>
      </c>
      <c r="B35" s="41">
        <f>B34^(1/2)</f>
        <v>0.01348069981198612</v>
      </c>
      <c r="C35" s="41">
        <f aca="true" t="shared" si="10" ref="C35:J35">C34^(1/2)</f>
        <v>0.00505096350285555</v>
      </c>
      <c r="D35" s="41">
        <f t="shared" si="10"/>
        <v>0.0034088597706338655</v>
      </c>
      <c r="E35" s="41">
        <f t="shared" si="10"/>
        <v>0.0028517566925581037</v>
      </c>
      <c r="F35" s="41">
        <f t="shared" si="10"/>
        <v>0.0013393561810332542</v>
      </c>
      <c r="G35" s="41">
        <f t="shared" si="10"/>
        <v>0.0003436210055585195</v>
      </c>
      <c r="H35" s="41">
        <f t="shared" si="10"/>
        <v>0.00015298848903798852</v>
      </c>
      <c r="I35" s="41">
        <f t="shared" si="10"/>
        <v>5.0149494378135086E-05</v>
      </c>
      <c r="J35" s="41">
        <f t="shared" si="10"/>
        <v>1.750878197062141E-05</v>
      </c>
      <c r="K35" s="41"/>
    </row>
    <row r="38" ht="12.75">
      <c r="A38" s="11" t="s">
        <v>33</v>
      </c>
    </row>
    <row r="40" spans="1:14" ht="12.75">
      <c r="A40" s="8"/>
      <c r="B40" s="9">
        <f>B30</f>
        <v>0</v>
      </c>
      <c r="C40" s="9">
        <f aca="true" t="shared" si="11" ref="C40:K40">C30</f>
        <v>1</v>
      </c>
      <c r="D40" s="9">
        <f t="shared" si="11"/>
        <v>2</v>
      </c>
      <c r="E40" s="9">
        <f t="shared" si="11"/>
        <v>3</v>
      </c>
      <c r="F40" s="9">
        <f t="shared" si="11"/>
        <v>4</v>
      </c>
      <c r="G40" s="9">
        <f t="shared" si="11"/>
        <v>5</v>
      </c>
      <c r="H40" s="9">
        <f t="shared" si="11"/>
        <v>6</v>
      </c>
      <c r="I40" s="9">
        <f t="shared" si="11"/>
        <v>7</v>
      </c>
      <c r="J40" s="9">
        <f t="shared" si="11"/>
        <v>8</v>
      </c>
      <c r="K40" s="9">
        <f t="shared" si="11"/>
        <v>9</v>
      </c>
      <c r="M40" s="9" t="s">
        <v>40</v>
      </c>
      <c r="N40" s="9" t="s">
        <v>39</v>
      </c>
    </row>
    <row r="41" spans="1:14" ht="12.75">
      <c r="A41" s="1">
        <f>A12</f>
        <v>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M41" s="10"/>
      <c r="N41" s="10"/>
    </row>
    <row r="42" spans="1:14" ht="12.75">
      <c r="A42" s="1">
        <f aca="true" t="shared" si="12" ref="A42:A50">A13</f>
        <v>1</v>
      </c>
      <c r="B42" s="10"/>
      <c r="C42" s="40"/>
      <c r="D42" s="40">
        <f>$N42*$M42*D$52</f>
        <v>34853.24450027792</v>
      </c>
      <c r="E42" s="40">
        <f aca="true" t="shared" si="13" ref="E42:K48">$N42*$M42*E$52</f>
        <v>31900.09727490554</v>
      </c>
      <c r="F42" s="40">
        <f t="shared" si="13"/>
        <v>32271.483497620135</v>
      </c>
      <c r="G42" s="40">
        <f t="shared" si="13"/>
        <v>32990.74147224808</v>
      </c>
      <c r="H42" s="40">
        <f t="shared" si="13"/>
        <v>31277.487998568475</v>
      </c>
      <c r="I42" s="40">
        <f t="shared" si="13"/>
        <v>28457.179235968404</v>
      </c>
      <c r="J42" s="40">
        <f t="shared" si="13"/>
        <v>28413.352785535448</v>
      </c>
      <c r="K42" s="40">
        <f t="shared" si="13"/>
        <v>31467.869999753842</v>
      </c>
      <c r="M42" s="7">
        <f>N13</f>
        <v>10663317.531375283</v>
      </c>
      <c r="N42" s="40">
        <f>INDEX(B$34:J$34,J$30-A42+2)</f>
        <v>3.065574460947573E-10</v>
      </c>
    </row>
    <row r="43" spans="1:14" ht="12.75">
      <c r="A43" s="1">
        <f t="shared" si="12"/>
        <v>2</v>
      </c>
      <c r="B43" s="10"/>
      <c r="C43" s="10"/>
      <c r="D43" s="40"/>
      <c r="E43" s="40">
        <f t="shared" si="13"/>
        <v>261673.6037109989</v>
      </c>
      <c r="F43" s="40">
        <f t="shared" si="13"/>
        <v>264720.0512007623</v>
      </c>
      <c r="G43" s="40">
        <f t="shared" si="13"/>
        <v>270620.0591097296</v>
      </c>
      <c r="H43" s="40">
        <f t="shared" si="13"/>
        <v>256566.39630535943</v>
      </c>
      <c r="I43" s="40">
        <f t="shared" si="13"/>
        <v>233431.65940699197</v>
      </c>
      <c r="J43" s="40">
        <f t="shared" si="13"/>
        <v>233072.15501038078</v>
      </c>
      <c r="K43" s="40">
        <f t="shared" si="13"/>
        <v>258128.08258808672</v>
      </c>
      <c r="M43" s="7">
        <f aca="true" t="shared" si="14" ref="M43:M50">N14</f>
        <v>10662007.944947287</v>
      </c>
      <c r="N43" s="40">
        <f aca="true" t="shared" si="15" ref="N43:N50">INDEX(B$34:J$34,J$30-A43+2)</f>
        <v>2.5149717863826027E-09</v>
      </c>
    </row>
    <row r="44" spans="1:14" ht="12.75">
      <c r="A44" s="1">
        <f t="shared" si="12"/>
        <v>3</v>
      </c>
      <c r="B44" s="10"/>
      <c r="C44" s="10"/>
      <c r="D44" s="10"/>
      <c r="E44" s="40"/>
      <c r="F44" s="40">
        <f t="shared" si="13"/>
        <v>2254862.302788595</v>
      </c>
      <c r="G44" s="40">
        <f t="shared" si="13"/>
        <v>2305118.055459161</v>
      </c>
      <c r="H44" s="40">
        <f t="shared" si="13"/>
        <v>2185410.1816886025</v>
      </c>
      <c r="I44" s="40">
        <f t="shared" si="13"/>
        <v>1988350.5109895405</v>
      </c>
      <c r="J44" s="40">
        <f t="shared" si="13"/>
        <v>1985288.283901232</v>
      </c>
      <c r="K44" s="40">
        <f t="shared" si="13"/>
        <v>2198712.489208305</v>
      </c>
      <c r="M44" s="7">
        <f t="shared" si="14"/>
        <v>9758606.278015869</v>
      </c>
      <c r="N44" s="40">
        <f t="shared" si="15"/>
        <v>2.3405477778126738E-08</v>
      </c>
    </row>
    <row r="45" spans="1:14" ht="12.75">
      <c r="A45" s="1">
        <f t="shared" si="12"/>
        <v>4</v>
      </c>
      <c r="B45" s="10"/>
      <c r="C45" s="10"/>
      <c r="D45" s="10"/>
      <c r="E45" s="10"/>
      <c r="F45" s="40"/>
      <c r="G45" s="40">
        <f t="shared" si="13"/>
        <v>11764188.999521073</v>
      </c>
      <c r="H45" s="40">
        <f t="shared" si="13"/>
        <v>11153258.878856542</v>
      </c>
      <c r="I45" s="40">
        <f t="shared" si="13"/>
        <v>10147563.224876087</v>
      </c>
      <c r="J45" s="40">
        <f t="shared" si="13"/>
        <v>10131935.123685783</v>
      </c>
      <c r="K45" s="40">
        <f t="shared" si="13"/>
        <v>11221147.314948095</v>
      </c>
      <c r="M45" s="7">
        <f t="shared" si="14"/>
        <v>9872217.590649772</v>
      </c>
      <c r="N45" s="40">
        <f t="shared" si="15"/>
        <v>1.1807539546104806E-07</v>
      </c>
    </row>
    <row r="46" spans="1:14" ht="12.75">
      <c r="A46" s="1">
        <f t="shared" si="12"/>
        <v>5</v>
      </c>
      <c r="B46" s="10"/>
      <c r="C46" s="10"/>
      <c r="D46" s="10"/>
      <c r="E46" s="10"/>
      <c r="F46" s="10"/>
      <c r="G46" s="40"/>
      <c r="H46" s="40">
        <f t="shared" si="13"/>
        <v>173223852.42216903</v>
      </c>
      <c r="I46" s="40">
        <f t="shared" si="13"/>
        <v>157604159.7889261</v>
      </c>
      <c r="J46" s="40">
        <f t="shared" si="13"/>
        <v>157361436.1219125</v>
      </c>
      <c r="K46" s="40">
        <f t="shared" si="13"/>
        <v>174278243.4806415</v>
      </c>
      <c r="M46" s="7">
        <f t="shared" si="14"/>
        <v>10092246.869125947</v>
      </c>
      <c r="N46" s="40">
        <f t="shared" si="15"/>
        <v>1.7938749796719833E-06</v>
      </c>
    </row>
    <row r="47" spans="1:14" ht="12.75">
      <c r="A47" s="1">
        <f t="shared" si="12"/>
        <v>6</v>
      </c>
      <c r="B47" s="10"/>
      <c r="C47" s="10"/>
      <c r="D47" s="10"/>
      <c r="E47" s="10"/>
      <c r="F47" s="10"/>
      <c r="G47" s="10"/>
      <c r="H47" s="40"/>
      <c r="I47" s="40">
        <f t="shared" si="13"/>
        <v>677392263.0910549</v>
      </c>
      <c r="J47" s="40">
        <f t="shared" si="13"/>
        <v>676349022.0095739</v>
      </c>
      <c r="K47" s="40">
        <f t="shared" si="13"/>
        <v>749058488.7923793</v>
      </c>
      <c r="M47" s="7">
        <f t="shared" si="14"/>
        <v>9568142.94680862</v>
      </c>
      <c r="N47" s="40">
        <f t="shared" si="15"/>
        <v>8.132516233549936E-06</v>
      </c>
    </row>
    <row r="48" spans="1:14" ht="12.75">
      <c r="A48" s="1">
        <f t="shared" si="12"/>
        <v>7</v>
      </c>
      <c r="B48" s="10"/>
      <c r="C48" s="10"/>
      <c r="D48" s="10"/>
      <c r="E48" s="10"/>
      <c r="F48" s="10"/>
      <c r="G48" s="10"/>
      <c r="H48" s="10"/>
      <c r="I48" s="40"/>
      <c r="J48" s="40">
        <f t="shared" si="13"/>
        <v>879273902.0304716</v>
      </c>
      <c r="K48" s="40">
        <f t="shared" si="13"/>
        <v>973798377.5486268</v>
      </c>
      <c r="M48" s="7">
        <f t="shared" si="14"/>
        <v>8705378.091909483</v>
      </c>
      <c r="N48" s="40">
        <f t="shared" si="15"/>
        <v>1.1620324935845971E-05</v>
      </c>
    </row>
    <row r="49" spans="1:14" ht="12.75">
      <c r="A49" s="1">
        <f t="shared" si="12"/>
        <v>8</v>
      </c>
      <c r="B49" s="10"/>
      <c r="C49" s="10"/>
      <c r="D49" s="10"/>
      <c r="E49" s="10"/>
      <c r="F49" s="10"/>
      <c r="G49" s="10"/>
      <c r="H49" s="10"/>
      <c r="I49" s="10"/>
      <c r="J49" s="40"/>
      <c r="K49" s="40">
        <f>$N49*$M49*K$52</f>
        <v>2134665688.652219</v>
      </c>
      <c r="M49" s="7">
        <f t="shared" si="14"/>
        <v>8691971.077170545</v>
      </c>
      <c r="N49" s="40">
        <f t="shared" si="15"/>
        <v>2.5512232307178806E-05</v>
      </c>
    </row>
    <row r="50" spans="1:14" ht="12.75">
      <c r="A50" s="3">
        <f t="shared" si="12"/>
        <v>9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s="6">
        <f t="shared" si="14"/>
        <v>9626382.988397779</v>
      </c>
      <c r="N50" s="41">
        <f t="shared" si="15"/>
        <v>0.00018172926742088258</v>
      </c>
    </row>
    <row r="51" spans="13:14" ht="12.75">
      <c r="M51" s="2"/>
      <c r="N51" s="2"/>
    </row>
    <row r="52" spans="1:14" ht="12.75">
      <c r="A52" s="8" t="s">
        <v>38</v>
      </c>
      <c r="B52" s="9"/>
      <c r="C52" s="45">
        <f>INDEX($M42:$M50,C40)</f>
        <v>10663317.531375283</v>
      </c>
      <c r="D52" s="45">
        <f aca="true" t="shared" si="16" ref="D52:K52">INDEX($M42:$M50,D40)</f>
        <v>10662007.944947287</v>
      </c>
      <c r="E52" s="45">
        <f t="shared" si="16"/>
        <v>9758606.278015869</v>
      </c>
      <c r="F52" s="45">
        <f t="shared" si="16"/>
        <v>9872217.590649772</v>
      </c>
      <c r="G52" s="45">
        <f t="shared" si="16"/>
        <v>10092246.869125947</v>
      </c>
      <c r="H52" s="45">
        <f t="shared" si="16"/>
        <v>9568142.94680862</v>
      </c>
      <c r="I52" s="45">
        <f t="shared" si="16"/>
        <v>8705378.091909483</v>
      </c>
      <c r="J52" s="45">
        <f t="shared" si="16"/>
        <v>8691971.077170545</v>
      </c>
      <c r="K52" s="45">
        <f t="shared" si="16"/>
        <v>9626382.988397779</v>
      </c>
      <c r="M52" s="46" t="s">
        <v>34</v>
      </c>
      <c r="N52" s="29">
        <f>(2*SUM(D42:K49))^(1/2)</f>
        <v>116810.71109078992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19" width="10.7109375" style="0" customWidth="1"/>
  </cols>
  <sheetData>
    <row r="1" spans="1:2" ht="12.75">
      <c r="A1" s="11" t="s">
        <v>1</v>
      </c>
      <c r="B1" s="11"/>
    </row>
    <row r="2" s="13" customFormat="1" ht="12.75" customHeight="1">
      <c r="A2" s="13" t="s">
        <v>50</v>
      </c>
    </row>
    <row r="3" s="13" customFormat="1" ht="12.75" customHeight="1">
      <c r="A3" s="13" t="s">
        <v>2</v>
      </c>
    </row>
    <row r="4" s="13" customFormat="1" ht="12.75" customHeight="1">
      <c r="A4" t="s">
        <v>51</v>
      </c>
    </row>
    <row r="5" s="13" customFormat="1" ht="12.75"/>
    <row r="6" ht="15.75">
      <c r="A6" s="4" t="s">
        <v>41</v>
      </c>
    </row>
    <row r="7" ht="12.75">
      <c r="A7" t="s">
        <v>23</v>
      </c>
    </row>
    <row r="8" ht="12.75">
      <c r="M8" s="11" t="s">
        <v>47</v>
      </c>
    </row>
    <row r="9" ht="12.75">
      <c r="A9" s="11" t="s">
        <v>0</v>
      </c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16" t="s">
        <v>7</v>
      </c>
      <c r="N10" s="16" t="s">
        <v>9</v>
      </c>
      <c r="O10" s="16" t="s">
        <v>11</v>
      </c>
      <c r="P10" s="16" t="s">
        <v>35</v>
      </c>
      <c r="Q10" s="16" t="s">
        <v>20</v>
      </c>
      <c r="R10" s="16" t="s">
        <v>36</v>
      </c>
      <c r="S10" s="16" t="s">
        <v>20</v>
      </c>
    </row>
    <row r="11" spans="1:19" ht="12.75">
      <c r="A11" s="3"/>
      <c r="B11" s="2">
        <v>0</v>
      </c>
      <c r="C11" s="2">
        <f aca="true" t="shared" si="0" ref="C11:K11">B11+1</f>
        <v>1</v>
      </c>
      <c r="D11" s="2">
        <f t="shared" si="0"/>
        <v>2</v>
      </c>
      <c r="E11" s="2">
        <f t="shared" si="0"/>
        <v>3</v>
      </c>
      <c r="F11" s="2">
        <f t="shared" si="0"/>
        <v>4</v>
      </c>
      <c r="G11" s="2">
        <f t="shared" si="0"/>
        <v>5</v>
      </c>
      <c r="H11" s="2">
        <f t="shared" si="0"/>
        <v>6</v>
      </c>
      <c r="I11" s="2">
        <f t="shared" si="0"/>
        <v>7</v>
      </c>
      <c r="J11" s="2">
        <f t="shared" si="0"/>
        <v>8</v>
      </c>
      <c r="K11" s="2">
        <f t="shared" si="0"/>
        <v>9</v>
      </c>
      <c r="M11" s="17" t="s">
        <v>8</v>
      </c>
      <c r="N11" s="17" t="s">
        <v>10</v>
      </c>
      <c r="O11" s="17" t="s">
        <v>12</v>
      </c>
      <c r="P11" s="17" t="s">
        <v>44</v>
      </c>
      <c r="Q11" s="17"/>
      <c r="R11" s="17" t="s">
        <v>44</v>
      </c>
      <c r="S11" s="17"/>
    </row>
    <row r="12" spans="1:19" ht="12.75">
      <c r="A12" s="1">
        <v>0</v>
      </c>
      <c r="B12" s="5">
        <v>5946975.449999999</v>
      </c>
      <c r="C12" s="5">
        <v>9668212.035</v>
      </c>
      <c r="D12" s="5">
        <v>10563929.325</v>
      </c>
      <c r="E12" s="5">
        <v>10771689.655</v>
      </c>
      <c r="F12" s="5">
        <v>10978393.645</v>
      </c>
      <c r="G12" s="5">
        <v>11040517.795</v>
      </c>
      <c r="H12" s="5">
        <v>11106331.215</v>
      </c>
      <c r="I12" s="5">
        <v>11121180.875</v>
      </c>
      <c r="J12" s="5">
        <v>11132310.405</v>
      </c>
      <c r="K12" s="5">
        <v>11148123.825</v>
      </c>
      <c r="M12" s="18">
        <f>'Ex 3.7 (Parameters)'!M33</f>
        <v>11148123.825</v>
      </c>
      <c r="N12" s="18">
        <f>'Ex 3.7 (Parameters)'!N33</f>
        <v>11148123.825</v>
      </c>
      <c r="O12" s="18">
        <f aca="true" t="shared" si="1" ref="O12:O21">N12-M12</f>
        <v>0</v>
      </c>
      <c r="P12" s="18"/>
      <c r="Q12" s="18"/>
      <c r="R12" s="18"/>
      <c r="S12" s="18"/>
    </row>
    <row r="13" spans="1:19" ht="12.75">
      <c r="A13" s="1">
        <f aca="true" t="shared" si="2" ref="A13:A21">A12+1</f>
        <v>1</v>
      </c>
      <c r="B13" s="5">
        <v>6346756.121088335</v>
      </c>
      <c r="C13" s="5">
        <v>9593161.71022243</v>
      </c>
      <c r="D13" s="5">
        <v>10316383.455589319</v>
      </c>
      <c r="E13" s="5">
        <v>10468180.234918753</v>
      </c>
      <c r="F13" s="5">
        <v>10536004.327810626</v>
      </c>
      <c r="G13" s="5">
        <v>10572607.806514177</v>
      </c>
      <c r="H13" s="5">
        <v>10625359.878763413</v>
      </c>
      <c r="I13" s="5">
        <v>10636546.271505505</v>
      </c>
      <c r="J13" s="5">
        <v>10648191.800681584</v>
      </c>
      <c r="K13" s="5"/>
      <c r="M13" s="7">
        <f>'Ex 3.7 (Parameters)'!M34</f>
        <v>10648191.800681584</v>
      </c>
      <c r="N13" s="7">
        <f>'Ex 3.7 (Parameters)'!N34</f>
        <v>10663317.531375283</v>
      </c>
      <c r="O13" s="7">
        <f t="shared" si="1"/>
        <v>15125.730693699792</v>
      </c>
      <c r="P13" s="7">
        <f aca="true" t="shared" si="3" ref="P13:P21">INDEX(B$33:J$33,J$30-A13+2)*N13</f>
        <v>186.7017075439391</v>
      </c>
      <c r="Q13" s="44">
        <f aca="true" t="shared" si="4" ref="Q13:Q22">P13/O13</f>
        <v>0.01234331823861604</v>
      </c>
      <c r="R13" s="7">
        <f>(P13^2+'Ex 3.7 (Process Error)'!P13^2)^(1/2)</f>
        <v>267.02031381800003</v>
      </c>
      <c r="S13" s="44">
        <f aca="true" t="shared" si="5" ref="S13:S22">R13/O13</f>
        <v>0.017653382783631075</v>
      </c>
    </row>
    <row r="14" spans="1:19" ht="12.75">
      <c r="A14" s="1">
        <f t="shared" si="2"/>
        <v>2</v>
      </c>
      <c r="B14" s="5">
        <v>6269090.211232325</v>
      </c>
      <c r="C14" s="5">
        <v>9245313.272709705</v>
      </c>
      <c r="D14" s="5">
        <v>10092365.968752814</v>
      </c>
      <c r="E14" s="5">
        <v>10355134.288356848</v>
      </c>
      <c r="F14" s="5">
        <v>10507837.38729655</v>
      </c>
      <c r="G14" s="5">
        <v>10573281.572556423</v>
      </c>
      <c r="H14" s="5">
        <v>10626826.815041773</v>
      </c>
      <c r="I14" s="5">
        <v>10635751.022122664</v>
      </c>
      <c r="J14" s="5"/>
      <c r="K14" s="5"/>
      <c r="M14" s="7">
        <f>'Ex 3.7 (Parameters)'!M35</f>
        <v>10635751.022122664</v>
      </c>
      <c r="N14" s="7">
        <f>'Ex 3.7 (Parameters)'!N35</f>
        <v>10662007.944947287</v>
      </c>
      <c r="O14" s="7">
        <f t="shared" si="1"/>
        <v>26256.922824623063</v>
      </c>
      <c r="P14" s="7">
        <f t="shared" si="3"/>
        <v>534.694319436592</v>
      </c>
      <c r="Q14" s="44">
        <f t="shared" si="4"/>
        <v>0.020363936894203363</v>
      </c>
      <c r="R14" s="7">
        <f>(P14^2+'Ex 3.7 (Process Error)'!P14^2)^(1/2)</f>
        <v>914.2816538185066</v>
      </c>
      <c r="S14" s="44">
        <f t="shared" si="5"/>
        <v>0.034820594169592364</v>
      </c>
    </row>
    <row r="15" spans="1:19" ht="12.75">
      <c r="A15" s="1">
        <f t="shared" si="2"/>
        <v>3</v>
      </c>
      <c r="B15" s="5">
        <v>5863014.807540223</v>
      </c>
      <c r="C15" s="5">
        <v>8546239.11002354</v>
      </c>
      <c r="D15" s="5">
        <v>9268770.831745785</v>
      </c>
      <c r="E15" s="5">
        <v>9459423.557167532</v>
      </c>
      <c r="F15" s="5">
        <v>9592399.150740609</v>
      </c>
      <c r="G15" s="5">
        <v>9680739.580037408</v>
      </c>
      <c r="H15" s="5">
        <v>9724068.209757265</v>
      </c>
      <c r="I15" s="5"/>
      <c r="J15" s="5"/>
      <c r="K15" s="5"/>
      <c r="M15" s="7">
        <f>'Ex 3.7 (Parameters)'!M36</f>
        <v>9724068.209757265</v>
      </c>
      <c r="N15" s="7">
        <f>'Ex 3.7 (Parameters)'!N36</f>
        <v>9758606.278015869</v>
      </c>
      <c r="O15" s="7">
        <f t="shared" si="1"/>
        <v>34538.068258604035</v>
      </c>
      <c r="P15" s="7">
        <f t="shared" si="3"/>
        <v>1492.9544346091152</v>
      </c>
      <c r="Q15" s="44">
        <f t="shared" si="4"/>
        <v>0.04322634443335418</v>
      </c>
      <c r="R15" s="7">
        <f>(P15^2+'Ex 3.7 (Process Error)'!P15^2)^(1/2)</f>
        <v>3058.1746759160606</v>
      </c>
      <c r="S15" s="44">
        <f t="shared" si="5"/>
        <v>0.088545041170744</v>
      </c>
    </row>
    <row r="16" spans="1:19" ht="12.75">
      <c r="A16" s="1">
        <f t="shared" si="2"/>
        <v>4</v>
      </c>
      <c r="B16" s="5">
        <v>5778885.359646133</v>
      </c>
      <c r="C16" s="5">
        <v>8524114.268910643</v>
      </c>
      <c r="D16" s="5">
        <v>9178008.629228268</v>
      </c>
      <c r="E16" s="5">
        <v>9451404.116085205</v>
      </c>
      <c r="F16" s="5">
        <v>9681691.672127554</v>
      </c>
      <c r="G16" s="5">
        <v>9786916.051948782</v>
      </c>
      <c r="H16" s="5"/>
      <c r="I16" s="5"/>
      <c r="J16" s="5"/>
      <c r="K16" s="5"/>
      <c r="M16" s="7">
        <f>'Ex 3.7 (Parameters)'!M37</f>
        <v>9786916.051948782</v>
      </c>
      <c r="N16" s="7">
        <f>'Ex 3.7 (Parameters)'!N37</f>
        <v>9872217.590649772</v>
      </c>
      <c r="O16" s="7">
        <f t="shared" si="1"/>
        <v>85301.53870099038</v>
      </c>
      <c r="P16" s="7">
        <f t="shared" si="3"/>
        <v>3392.3013055388947</v>
      </c>
      <c r="Q16" s="44">
        <f t="shared" si="4"/>
        <v>0.03976834834632952</v>
      </c>
      <c r="R16" s="7">
        <f>(P16^2+'Ex 3.7 (Process Error)'!P16^2)^(1/2)</f>
        <v>7627.865005544444</v>
      </c>
      <c r="S16" s="44">
        <f t="shared" si="5"/>
        <v>0.08942236121065283</v>
      </c>
    </row>
    <row r="17" spans="1:19" ht="12.75">
      <c r="A17" s="1">
        <f t="shared" si="2"/>
        <v>5</v>
      </c>
      <c r="B17" s="5">
        <v>6184793.399572363</v>
      </c>
      <c r="C17" s="5">
        <v>9013131.87453573</v>
      </c>
      <c r="D17" s="5">
        <v>9585896.654940045</v>
      </c>
      <c r="E17" s="5">
        <v>9830796.08111641</v>
      </c>
      <c r="F17" s="5">
        <v>9935752.978049139</v>
      </c>
      <c r="G17" s="5"/>
      <c r="H17" s="5"/>
      <c r="I17" s="5"/>
      <c r="J17" s="5"/>
      <c r="K17" s="5"/>
      <c r="M17" s="7">
        <f>'Ex 3.7 (Parameters)'!M38</f>
        <v>9935752.978049139</v>
      </c>
      <c r="N17" s="7">
        <f>'Ex 3.7 (Parameters)'!N38</f>
        <v>10092246.869125947</v>
      </c>
      <c r="O17" s="7">
        <f t="shared" si="1"/>
        <v>156493.8910768088</v>
      </c>
      <c r="P17" s="7">
        <f t="shared" si="3"/>
        <v>13517.11247138179</v>
      </c>
      <c r="Q17" s="44">
        <f t="shared" si="4"/>
        <v>0.08637469730206564</v>
      </c>
      <c r="R17" s="7">
        <f>(P17^2+'Ex 3.7 (Process Error)'!P17^2)^(1/2)</f>
        <v>33341.370814135014</v>
      </c>
      <c r="S17" s="44">
        <f t="shared" si="5"/>
        <v>0.21305221938516902</v>
      </c>
    </row>
    <row r="18" spans="1:19" ht="12.75">
      <c r="A18" s="1">
        <f t="shared" si="2"/>
        <v>6</v>
      </c>
      <c r="B18" s="5">
        <v>5600184.39631737</v>
      </c>
      <c r="C18" s="5">
        <v>8493391.299402948</v>
      </c>
      <c r="D18" s="5">
        <v>9056505.210042793</v>
      </c>
      <c r="E18" s="5">
        <v>9282022.219649784</v>
      </c>
      <c r="F18" s="5"/>
      <c r="G18" s="5"/>
      <c r="H18" s="5"/>
      <c r="I18" s="5"/>
      <c r="J18" s="5"/>
      <c r="K18" s="5"/>
      <c r="M18" s="7">
        <f>'Ex 3.7 (Parameters)'!M39</f>
        <v>9282022.219649784</v>
      </c>
      <c r="N18" s="7">
        <f>'Ex 3.7 (Parameters)'!N39</f>
        <v>9568142.94680862</v>
      </c>
      <c r="O18" s="7">
        <f t="shared" si="1"/>
        <v>286120.72715883516</v>
      </c>
      <c r="P18" s="7">
        <f t="shared" si="3"/>
        <v>27285.996273221088</v>
      </c>
      <c r="Q18" s="44">
        <f t="shared" si="4"/>
        <v>0.09536532548400005</v>
      </c>
      <c r="R18" s="7">
        <f>(P18^2+'Ex 3.7 (Process Error)'!P18^2)^(1/2)</f>
        <v>73466.8021366242</v>
      </c>
      <c r="S18" s="44">
        <f t="shared" si="5"/>
        <v>0.25676854265731097</v>
      </c>
    </row>
    <row r="19" spans="1:19" ht="12.75">
      <c r="A19" s="1">
        <f t="shared" si="2"/>
        <v>7</v>
      </c>
      <c r="B19" s="5">
        <v>5288065.615019468</v>
      </c>
      <c r="C19" s="5">
        <v>7728168.797233385</v>
      </c>
      <c r="D19" s="5">
        <v>8256211.357257279</v>
      </c>
      <c r="E19" s="5"/>
      <c r="F19" s="5"/>
      <c r="G19" s="5"/>
      <c r="H19" s="5"/>
      <c r="I19" s="5"/>
      <c r="J19" s="5"/>
      <c r="K19" s="5"/>
      <c r="M19" s="7">
        <f>'Ex 3.7 (Parameters)'!M40</f>
        <v>8256211.357257279</v>
      </c>
      <c r="N19" s="7">
        <f>'Ex 3.7 (Parameters)'!N40</f>
        <v>8705378.091909483</v>
      </c>
      <c r="O19" s="7">
        <f t="shared" si="1"/>
        <v>449166.73465220444</v>
      </c>
      <c r="P19" s="7">
        <f t="shared" si="3"/>
        <v>29675.362173553644</v>
      </c>
      <c r="Q19" s="44">
        <f t="shared" si="4"/>
        <v>0.06606758667587362</v>
      </c>
      <c r="R19" s="7">
        <f>(P19^2+'Ex 3.7 (Process Error)'!P19^2)^(1/2)</f>
        <v>85398.32309150945</v>
      </c>
      <c r="S19" s="44">
        <f t="shared" si="5"/>
        <v>0.19012610797554824</v>
      </c>
    </row>
    <row r="20" spans="1:19" ht="12.75">
      <c r="A20" s="1">
        <f t="shared" si="2"/>
        <v>8</v>
      </c>
      <c r="B20" s="5">
        <v>5290792.945441608</v>
      </c>
      <c r="C20" s="5">
        <v>7648728.911074035</v>
      </c>
      <c r="D20" s="5"/>
      <c r="E20" s="5"/>
      <c r="F20" s="5"/>
      <c r="G20" s="5"/>
      <c r="H20" s="5"/>
      <c r="I20" s="5"/>
      <c r="J20" s="5"/>
      <c r="K20" s="5"/>
      <c r="M20" s="7">
        <f>'Ex 3.7 (Parameters)'!M41</f>
        <v>7648728.911074035</v>
      </c>
      <c r="N20" s="7">
        <f>'Ex 3.7 (Parameters)'!N41</f>
        <v>8691971.077170545</v>
      </c>
      <c r="O20" s="7">
        <f t="shared" si="1"/>
        <v>1043242.1660965104</v>
      </c>
      <c r="P20" s="7">
        <f t="shared" si="3"/>
        <v>43902.65542127774</v>
      </c>
      <c r="Q20" s="44">
        <f t="shared" si="4"/>
        <v>0.04208289968334764</v>
      </c>
      <c r="R20" s="7">
        <f>(P20^2+'Ex 3.7 (Process Error)'!P20^2)^(1/2)</f>
        <v>134336.52677152827</v>
      </c>
      <c r="S20" s="44">
        <f t="shared" si="5"/>
        <v>0.12876830628326116</v>
      </c>
    </row>
    <row r="21" spans="1:19" ht="12.75">
      <c r="A21" s="3">
        <f t="shared" si="2"/>
        <v>9</v>
      </c>
      <c r="B21" s="12">
        <v>5675568.139045331</v>
      </c>
      <c r="C21" s="6"/>
      <c r="D21" s="6"/>
      <c r="E21" s="6"/>
      <c r="F21" s="6"/>
      <c r="G21" s="6"/>
      <c r="H21" s="6"/>
      <c r="I21" s="6"/>
      <c r="J21" s="6"/>
      <c r="K21" s="6"/>
      <c r="M21" s="6">
        <f>'Ex 3.7 (Parameters)'!M42</f>
        <v>5675568.139045331</v>
      </c>
      <c r="N21" s="6">
        <f>'Ex 3.7 (Parameters)'!N42</f>
        <v>9626382.988397779</v>
      </c>
      <c r="O21" s="6">
        <f t="shared" si="1"/>
        <v>3950814.8493524482</v>
      </c>
      <c r="P21" s="7">
        <f t="shared" si="3"/>
        <v>129768.88449877301</v>
      </c>
      <c r="Q21" s="44">
        <f t="shared" si="4"/>
        <v>0.03284610629628532</v>
      </c>
      <c r="R21" s="7">
        <f>(P21^2+'Ex 3.7 (Process Error)'!P21^2)^(1/2)</f>
        <v>410816.8768386947</v>
      </c>
      <c r="S21" s="44">
        <f t="shared" si="5"/>
        <v>0.10398282189964658</v>
      </c>
    </row>
    <row r="22" spans="13:19" ht="12.75">
      <c r="M22" s="2"/>
      <c r="N22" s="28" t="s">
        <v>13</v>
      </c>
      <c r="O22" s="29">
        <f>SUM(O12:O21)</f>
        <v>6047060.628814724</v>
      </c>
      <c r="P22" s="19">
        <f>(SUMPRODUCT(P13:P21,P13:P21)+N50^2)^(1/2)</f>
        <v>185024.37303039402</v>
      </c>
      <c r="Q22" s="43">
        <f t="shared" si="4"/>
        <v>0.030597406638977323</v>
      </c>
      <c r="R22" s="19">
        <f>(P22^2+'Ex 3.7 (Process Error)'!P22^2)^(1/2)</f>
        <v>462959.8621460082</v>
      </c>
      <c r="S22" s="43">
        <f t="shared" si="5"/>
        <v>0.07655948742104017</v>
      </c>
    </row>
    <row r="24" spans="1:11" s="10" customFormat="1" ht="12.75">
      <c r="A24" s="21" t="s">
        <v>5</v>
      </c>
      <c r="B24" s="30">
        <f>'Ex 3.7 (Parameters)'!B26</f>
        <v>1.4925359151492918</v>
      </c>
      <c r="C24" s="30">
        <f>'Ex 3.7 (Parameters)'!C26</f>
        <v>1.0777602648654203</v>
      </c>
      <c r="D24" s="30">
        <f>'Ex 3.7 (Parameters)'!D26</f>
        <v>1.0228731638434971</v>
      </c>
      <c r="E24" s="30">
        <f>'Ex 3.7 (Parameters)'!E26</f>
        <v>1.0148409226544672</v>
      </c>
      <c r="F24" s="30">
        <f>'Ex 3.7 (Parameters)'!F26</f>
        <v>1.0069739228849526</v>
      </c>
      <c r="G24" s="30">
        <f>'Ex 3.7 (Parameters)'!G26</f>
        <v>1.005145785685367</v>
      </c>
      <c r="H24" s="30">
        <f>'Ex 3.7 (Parameters)'!H26</f>
        <v>1.0010804036180372</v>
      </c>
      <c r="I24" s="30">
        <f>'Ex 3.7 (Parameters)'!I26</f>
        <v>1.0010467572749087</v>
      </c>
      <c r="J24" s="30">
        <f>'Ex 3.7 (Parameters)'!J26</f>
        <v>1.001420497580888</v>
      </c>
      <c r="K24" s="31"/>
    </row>
    <row r="25" spans="1:10" s="10" customFormat="1" ht="12.75">
      <c r="A25" s="1" t="s">
        <v>24</v>
      </c>
      <c r="B25" s="7">
        <f>'Ex 3.7 (Parameters)'!B24-'Ex 3.7 (Parameters)'!B25</f>
        <v>52568558.30585783</v>
      </c>
      <c r="C25" s="7">
        <f>'Ex 3.7 (Parameters)'!C24-'Ex 3.7 (Parameters)'!C25</f>
        <v>70811732.36803839</v>
      </c>
      <c r="D25" s="7">
        <f>'Ex 3.7 (Parameters)'!D24-'Ex 3.7 (Parameters)'!D25</f>
        <v>68061860.07529902</v>
      </c>
      <c r="E25" s="7">
        <f>'Ex 3.7 (Parameters)'!E24-'Ex 3.7 (Parameters)'!E25</f>
        <v>60336627.93264473</v>
      </c>
      <c r="F25" s="7">
        <f>'Ex 3.7 (Parameters)'!F24-'Ex 3.7 (Parameters)'!F25</f>
        <v>51296326.18297534</v>
      </c>
      <c r="G25" s="7">
        <f>'Ex 3.7 (Parameters)'!G24-'Ex 3.7 (Parameters)'!G25</f>
        <v>41867146.754108</v>
      </c>
      <c r="H25" s="7">
        <f>'Ex 3.7 (Parameters)'!H24-'Ex 3.7 (Parameters)'!H25</f>
        <v>32358517.90880518</v>
      </c>
      <c r="I25" s="7">
        <f>'Ex 3.7 (Parameters)'!I24-'Ex 3.7 (Parameters)'!I25</f>
        <v>21757727.146505505</v>
      </c>
      <c r="J25" s="7">
        <f>'Ex 3.7 (Parameters)'!J24-'Ex 3.7 (Parameters)'!J25</f>
        <v>11132310.405000001</v>
      </c>
    </row>
    <row r="26" spans="1:11" ht="12.75">
      <c r="A26" s="27" t="s">
        <v>16</v>
      </c>
      <c r="B26" s="25">
        <f>'Ex 3.7 (Parameters)'!B28</f>
        <v>135.25286688404614</v>
      </c>
      <c r="C26" s="25">
        <f>'Ex 3.7 (Parameters)'!C28</f>
        <v>33.802840301703164</v>
      </c>
      <c r="D26" s="25">
        <f>'Ex 3.7 (Parameters)'!D28</f>
        <v>15.759711175774129</v>
      </c>
      <c r="E26" s="25">
        <f>'Ex 3.7 (Parameters)'!E28</f>
        <v>19.846603155035172</v>
      </c>
      <c r="F26" s="25">
        <f>'Ex 3.7 (Parameters)'!F28</f>
        <v>9.336247768642979</v>
      </c>
      <c r="G26" s="25">
        <f>'Ex 3.7 (Parameters)'!G28</f>
        <v>2.0011135517513114</v>
      </c>
      <c r="H26" s="25">
        <f>'Ex 3.7 (Parameters)'!H28</f>
        <v>0.8230718545861337</v>
      </c>
      <c r="I26" s="25">
        <f>'Ex 3.7 (Parameters)'!I28</f>
        <v>0.219432734247422</v>
      </c>
      <c r="J26" s="25">
        <f>'Ex 3.7 (Parameters)'!J28</f>
        <v>0.05850124091961741</v>
      </c>
      <c r="K26" s="2"/>
    </row>
    <row r="28" ht="12.75">
      <c r="A28" s="11" t="s">
        <v>45</v>
      </c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  <c r="O29" s="17"/>
    </row>
    <row r="30" spans="1:15" ht="12.75">
      <c r="A30" s="21"/>
      <c r="B30" s="31">
        <v>0</v>
      </c>
      <c r="C30" s="31">
        <f aca="true" t="shared" si="6" ref="C30:K30">B30+1</f>
        <v>1</v>
      </c>
      <c r="D30" s="31">
        <f t="shared" si="6"/>
        <v>2</v>
      </c>
      <c r="E30" s="31">
        <f t="shared" si="6"/>
        <v>3</v>
      </c>
      <c r="F30" s="31">
        <f t="shared" si="6"/>
        <v>4</v>
      </c>
      <c r="G30" s="31">
        <f t="shared" si="6"/>
        <v>5</v>
      </c>
      <c r="H30" s="31">
        <f t="shared" si="6"/>
        <v>6</v>
      </c>
      <c r="I30" s="31">
        <f t="shared" si="6"/>
        <v>7</v>
      </c>
      <c r="J30" s="31">
        <f t="shared" si="6"/>
        <v>8</v>
      </c>
      <c r="K30" s="31">
        <f t="shared" si="6"/>
        <v>9</v>
      </c>
      <c r="M30" s="17"/>
      <c r="N30" s="17"/>
      <c r="O30" s="17"/>
    </row>
    <row r="31" spans="1:15" ht="12.75">
      <c r="A31" s="1" t="s">
        <v>43</v>
      </c>
      <c r="B31" s="40">
        <f>B$26^2/B24^2/B$25</f>
        <v>0.00015621304977015714</v>
      </c>
      <c r="C31" s="40">
        <f aca="true" t="shared" si="7" ref="C31:J31">C$26^2/C24^2/C$25</f>
        <v>1.389174594468009E-05</v>
      </c>
      <c r="D31" s="40">
        <f t="shared" si="7"/>
        <v>3.4877803378498807E-06</v>
      </c>
      <c r="E31" s="40">
        <f t="shared" si="7"/>
        <v>6.338629883224646E-06</v>
      </c>
      <c r="F31" s="40">
        <f t="shared" si="7"/>
        <v>1.6757993863612098E-06</v>
      </c>
      <c r="G31" s="40">
        <f t="shared" si="7"/>
        <v>9.466991543347795E-08</v>
      </c>
      <c r="H31" s="40">
        <f t="shared" si="7"/>
        <v>2.0890506036769273E-08</v>
      </c>
      <c r="I31" s="40">
        <f t="shared" si="7"/>
        <v>2.2084144335677126E-09</v>
      </c>
      <c r="J31" s="40">
        <f t="shared" si="7"/>
        <v>3.065574651533091E-10</v>
      </c>
      <c r="K31" s="35"/>
      <c r="M31" s="7"/>
      <c r="N31" s="7"/>
      <c r="O31" s="7"/>
    </row>
    <row r="32" spans="1:11" ht="12.75">
      <c r="A32" s="26" t="s">
        <v>42</v>
      </c>
      <c r="B32" s="40">
        <f aca="true" t="shared" si="8" ref="B32:I32">C32+B31</f>
        <v>0.00018172508071564195</v>
      </c>
      <c r="C32" s="40">
        <f t="shared" si="8"/>
        <v>2.5512030945484797E-05</v>
      </c>
      <c r="D32" s="40">
        <f t="shared" si="8"/>
        <v>1.1620285000804705E-05</v>
      </c>
      <c r="E32" s="40">
        <f t="shared" si="8"/>
        <v>8.132504662954824E-06</v>
      </c>
      <c r="F32" s="40">
        <f t="shared" si="8"/>
        <v>1.793874779730178E-06</v>
      </c>
      <c r="G32" s="40">
        <f t="shared" si="8"/>
        <v>1.1807539336896824E-07</v>
      </c>
      <c r="H32" s="40">
        <f t="shared" si="8"/>
        <v>2.3405477935490295E-08</v>
      </c>
      <c r="I32" s="40">
        <f t="shared" si="8"/>
        <v>2.514971898721022E-09</v>
      </c>
      <c r="J32" s="40">
        <f>J31</f>
        <v>3.065574651533091E-10</v>
      </c>
      <c r="K32" s="40"/>
    </row>
    <row r="33" spans="1:11" ht="12.75">
      <c r="A33" s="27" t="s">
        <v>32</v>
      </c>
      <c r="B33" s="41">
        <f aca="true" t="shared" si="9" ref="B33:J33">B32^(1/2)</f>
        <v>0.01348054452593225</v>
      </c>
      <c r="C33" s="41">
        <f t="shared" si="9"/>
        <v>0.005050943569817901</v>
      </c>
      <c r="D33" s="41">
        <f t="shared" si="9"/>
        <v>0.0034088539130923026</v>
      </c>
      <c r="E33" s="41">
        <f t="shared" si="9"/>
        <v>0.0028517546638788588</v>
      </c>
      <c r="F33" s="41">
        <f t="shared" si="9"/>
        <v>0.0013393561063922386</v>
      </c>
      <c r="G33" s="41">
        <f t="shared" si="9"/>
        <v>0.0003436210025143519</v>
      </c>
      <c r="H33" s="41">
        <f t="shared" si="9"/>
        <v>0.00015298848955228722</v>
      </c>
      <c r="I33" s="41">
        <f t="shared" si="9"/>
        <v>5.0149495498170486E-05</v>
      </c>
      <c r="J33" s="41">
        <f t="shared" si="9"/>
        <v>1.750878251487833E-05</v>
      </c>
      <c r="K33" s="41"/>
    </row>
    <row r="36" ht="12.75">
      <c r="A36" s="11" t="s">
        <v>46</v>
      </c>
    </row>
    <row r="38" spans="1:14" ht="12.75">
      <c r="A38" s="8"/>
      <c r="B38" s="9">
        <f aca="true" t="shared" si="10" ref="B38:K38">B30</f>
        <v>0</v>
      </c>
      <c r="C38" s="9">
        <f t="shared" si="10"/>
        <v>1</v>
      </c>
      <c r="D38" s="9">
        <f t="shared" si="10"/>
        <v>2</v>
      </c>
      <c r="E38" s="9">
        <f t="shared" si="10"/>
        <v>3</v>
      </c>
      <c r="F38" s="9">
        <f t="shared" si="10"/>
        <v>4</v>
      </c>
      <c r="G38" s="9">
        <f t="shared" si="10"/>
        <v>5</v>
      </c>
      <c r="H38" s="9">
        <f t="shared" si="10"/>
        <v>6</v>
      </c>
      <c r="I38" s="9">
        <f t="shared" si="10"/>
        <v>7</v>
      </c>
      <c r="J38" s="9">
        <f t="shared" si="10"/>
        <v>8</v>
      </c>
      <c r="K38" s="9">
        <f t="shared" si="10"/>
        <v>9</v>
      </c>
      <c r="M38" s="9" t="s">
        <v>40</v>
      </c>
      <c r="N38" s="9" t="s">
        <v>39</v>
      </c>
    </row>
    <row r="39" spans="1:14" ht="12.75">
      <c r="A39" s="1">
        <f aca="true" t="shared" si="11" ref="A39:A48">A12</f>
        <v>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M39" s="10"/>
      <c r="N39" s="10"/>
    </row>
    <row r="40" spans="1:14" ht="12.75">
      <c r="A40" s="1">
        <f t="shared" si="11"/>
        <v>1</v>
      </c>
      <c r="B40" s="10"/>
      <c r="C40" s="40"/>
      <c r="D40" s="40">
        <f aca="true" t="shared" si="12" ref="D40:K40">$N40*$M40*D$50</f>
        <v>34853.24666708997</v>
      </c>
      <c r="E40" s="40">
        <f t="shared" si="12"/>
        <v>31900.09925812162</v>
      </c>
      <c r="F40" s="40">
        <f t="shared" si="12"/>
        <v>32271.48550392514</v>
      </c>
      <c r="G40" s="40">
        <f t="shared" si="12"/>
        <v>32990.74352326906</v>
      </c>
      <c r="H40" s="40">
        <f t="shared" si="12"/>
        <v>31277.489943077187</v>
      </c>
      <c r="I40" s="40">
        <f t="shared" si="12"/>
        <v>28457.181005139668</v>
      </c>
      <c r="J40" s="40">
        <f t="shared" si="12"/>
        <v>28413.354551982036</v>
      </c>
      <c r="K40" s="40">
        <f t="shared" si="12"/>
        <v>31467.871956098523</v>
      </c>
      <c r="M40" s="7">
        <f aca="true" t="shared" si="13" ref="M40:M48">N13</f>
        <v>10663317.531375283</v>
      </c>
      <c r="N40" s="40">
        <f aca="true" t="shared" si="14" ref="N40:N48">INDEX(B$32:J$32,J$30-A40+2)</f>
        <v>3.065574651533091E-10</v>
      </c>
    </row>
    <row r="41" spans="1:14" ht="12.75">
      <c r="A41" s="1">
        <f t="shared" si="11"/>
        <v>2</v>
      </c>
      <c r="B41" s="10"/>
      <c r="C41" s="10"/>
      <c r="D41" s="40"/>
      <c r="E41" s="40">
        <f aca="true" t="shared" si="15" ref="E41:K41">$N41*$M41*E$50</f>
        <v>261673.61539939998</v>
      </c>
      <c r="F41" s="40">
        <f t="shared" si="15"/>
        <v>264720.06302524166</v>
      </c>
      <c r="G41" s="40">
        <f t="shared" si="15"/>
        <v>270620.0711977497</v>
      </c>
      <c r="H41" s="40">
        <f t="shared" si="15"/>
        <v>256566.40776563244</v>
      </c>
      <c r="I41" s="40">
        <f t="shared" si="15"/>
        <v>233431.6698338857</v>
      </c>
      <c r="J41" s="40">
        <f t="shared" si="15"/>
        <v>233072.1654212162</v>
      </c>
      <c r="K41" s="40">
        <f t="shared" si="15"/>
        <v>258128.09411811695</v>
      </c>
      <c r="M41" s="7">
        <f t="shared" si="13"/>
        <v>10662007.944947287</v>
      </c>
      <c r="N41" s="40">
        <f t="shared" si="14"/>
        <v>2.514971898721022E-09</v>
      </c>
    </row>
    <row r="42" spans="1:14" ht="12.75">
      <c r="A42" s="1">
        <f t="shared" si="11"/>
        <v>3</v>
      </c>
      <c r="B42" s="10"/>
      <c r="C42" s="10"/>
      <c r="D42" s="10"/>
      <c r="E42" s="40"/>
      <c r="F42" s="40">
        <f aca="true" t="shared" si="16" ref="F42:K42">$N42*$M42*F$50</f>
        <v>2254862.3179488564</v>
      </c>
      <c r="G42" s="40">
        <f t="shared" si="16"/>
        <v>2305118.07095731</v>
      </c>
      <c r="H42" s="40">
        <f t="shared" si="16"/>
        <v>2185410.196381912</v>
      </c>
      <c r="I42" s="40">
        <f t="shared" si="16"/>
        <v>1988350.524357946</v>
      </c>
      <c r="J42" s="40">
        <f t="shared" si="16"/>
        <v>1985288.297249049</v>
      </c>
      <c r="K42" s="40">
        <f t="shared" si="16"/>
        <v>2198712.5039910506</v>
      </c>
      <c r="M42" s="7">
        <f t="shared" si="13"/>
        <v>9758606.278015869</v>
      </c>
      <c r="N42" s="40">
        <f t="shared" si="14"/>
        <v>2.3405477935490295E-08</v>
      </c>
    </row>
    <row r="43" spans="1:14" ht="12.75">
      <c r="A43" s="1">
        <f t="shared" si="11"/>
        <v>4</v>
      </c>
      <c r="B43" s="10"/>
      <c r="C43" s="10"/>
      <c r="D43" s="10"/>
      <c r="E43" s="10"/>
      <c r="F43" s="40"/>
      <c r="G43" s="40">
        <f>$N43*$M43*G$50</f>
        <v>11764188.791081183</v>
      </c>
      <c r="H43" s="40">
        <f>$N43*$M43*H$50</f>
        <v>11153258.681241214</v>
      </c>
      <c r="I43" s="40">
        <f>$N43*$M43*I$50</f>
        <v>10147563.045079846</v>
      </c>
      <c r="J43" s="40">
        <f>$N43*$M43*J$50</f>
        <v>10131934.944166444</v>
      </c>
      <c r="K43" s="40">
        <f>$N43*$M43*K$50</f>
        <v>11221147.11612991</v>
      </c>
      <c r="M43" s="7">
        <f t="shared" si="13"/>
        <v>9872217.590649772</v>
      </c>
      <c r="N43" s="40">
        <f t="shared" si="14"/>
        <v>1.1807539336896824E-07</v>
      </c>
    </row>
    <row r="44" spans="1:14" ht="12.75">
      <c r="A44" s="1">
        <f t="shared" si="11"/>
        <v>5</v>
      </c>
      <c r="B44" s="10"/>
      <c r="C44" s="10"/>
      <c r="D44" s="10"/>
      <c r="E44" s="10"/>
      <c r="F44" s="10"/>
      <c r="G44" s="40"/>
      <c r="H44" s="40">
        <f>$N44*$M44*H$50</f>
        <v>173223833.1149764</v>
      </c>
      <c r="I44" s="40">
        <f>$N44*$M44*I$50</f>
        <v>157604142.22267392</v>
      </c>
      <c r="J44" s="40">
        <f>$N44*$M44*J$50</f>
        <v>157361418.58271384</v>
      </c>
      <c r="K44" s="40">
        <f>$N44*$M44*K$50</f>
        <v>174278224.05592853</v>
      </c>
      <c r="M44" s="7">
        <f t="shared" si="13"/>
        <v>10092246.869125947</v>
      </c>
      <c r="N44" s="40">
        <f t="shared" si="14"/>
        <v>1.793874779730178E-06</v>
      </c>
    </row>
    <row r="45" spans="1:14" ht="12.75">
      <c r="A45" s="1">
        <f t="shared" si="11"/>
        <v>6</v>
      </c>
      <c r="B45" s="10"/>
      <c r="C45" s="10"/>
      <c r="D45" s="10"/>
      <c r="E45" s="10"/>
      <c r="F45" s="10"/>
      <c r="G45" s="10"/>
      <c r="H45" s="40"/>
      <c r="I45" s="40">
        <f>$N45*$M45*I$50</f>
        <v>677391299.3264116</v>
      </c>
      <c r="J45" s="40">
        <f>$N45*$M45*J$50</f>
        <v>676348059.7292093</v>
      </c>
      <c r="K45" s="40">
        <f>$N45*$M45*K$50</f>
        <v>749057423.0641054</v>
      </c>
      <c r="M45" s="7">
        <f t="shared" si="13"/>
        <v>9568142.94680862</v>
      </c>
      <c r="N45" s="40">
        <f t="shared" si="14"/>
        <v>8.132504662954824E-06</v>
      </c>
    </row>
    <row r="46" spans="1:14" ht="12.75">
      <c r="A46" s="1">
        <f t="shared" si="11"/>
        <v>7</v>
      </c>
      <c r="B46" s="10"/>
      <c r="C46" s="10"/>
      <c r="D46" s="10"/>
      <c r="E46" s="10"/>
      <c r="F46" s="10"/>
      <c r="G46" s="10"/>
      <c r="H46" s="10"/>
      <c r="I46" s="40"/>
      <c r="J46" s="40">
        <f>$N46*$M46*J$50</f>
        <v>879270880.2699136</v>
      </c>
      <c r="K46" s="40">
        <f>$N46*$M46*K$50</f>
        <v>973795030.9401104</v>
      </c>
      <c r="M46" s="7">
        <f t="shared" si="13"/>
        <v>8705378.091909483</v>
      </c>
      <c r="N46" s="40">
        <f t="shared" si="14"/>
        <v>1.1620285000804705E-05</v>
      </c>
    </row>
    <row r="47" spans="1:14" ht="12.75">
      <c r="A47" s="1">
        <f t="shared" si="11"/>
        <v>8</v>
      </c>
      <c r="B47" s="10"/>
      <c r="C47" s="10"/>
      <c r="D47" s="10"/>
      <c r="E47" s="10"/>
      <c r="F47" s="10"/>
      <c r="G47" s="10"/>
      <c r="H47" s="10"/>
      <c r="I47" s="10"/>
      <c r="J47" s="40"/>
      <c r="K47" s="40">
        <f>$N47*$M47*K$50</f>
        <v>2134648840.267725</v>
      </c>
      <c r="M47" s="7">
        <f t="shared" si="13"/>
        <v>8691971.077170545</v>
      </c>
      <c r="N47" s="40">
        <f t="shared" si="14"/>
        <v>2.5512030945484797E-05</v>
      </c>
    </row>
    <row r="48" spans="1:14" ht="12.75">
      <c r="A48" s="3">
        <f t="shared" si="11"/>
        <v>9</v>
      </c>
      <c r="B48" s="2"/>
      <c r="C48" s="2"/>
      <c r="D48" s="2"/>
      <c r="E48" s="2"/>
      <c r="F48" s="2"/>
      <c r="G48" s="2"/>
      <c r="H48" s="2"/>
      <c r="I48" s="2"/>
      <c r="J48" s="2"/>
      <c r="K48" s="2"/>
      <c r="M48" s="6">
        <f t="shared" si="13"/>
        <v>9626382.988397779</v>
      </c>
      <c r="N48" s="41">
        <f t="shared" si="14"/>
        <v>0.00018172508071564195</v>
      </c>
    </row>
    <row r="49" spans="13:14" ht="12.75">
      <c r="M49" s="2"/>
      <c r="N49" s="2"/>
    </row>
    <row r="50" spans="1:14" ht="12.75">
      <c r="A50" s="8" t="s">
        <v>38</v>
      </c>
      <c r="B50" s="9"/>
      <c r="C50" s="45">
        <f aca="true" t="shared" si="17" ref="C50:K50">INDEX($M40:$M48,C38)</f>
        <v>10663317.531375283</v>
      </c>
      <c r="D50" s="45">
        <f t="shared" si="17"/>
        <v>10662007.944947287</v>
      </c>
      <c r="E50" s="45">
        <f t="shared" si="17"/>
        <v>9758606.278015869</v>
      </c>
      <c r="F50" s="45">
        <f t="shared" si="17"/>
        <v>9872217.590649772</v>
      </c>
      <c r="G50" s="45">
        <f t="shared" si="17"/>
        <v>10092246.869125947</v>
      </c>
      <c r="H50" s="45">
        <f t="shared" si="17"/>
        <v>9568142.94680862</v>
      </c>
      <c r="I50" s="45">
        <f t="shared" si="17"/>
        <v>8705378.091909483</v>
      </c>
      <c r="J50" s="45">
        <f t="shared" si="17"/>
        <v>8691971.077170545</v>
      </c>
      <c r="K50" s="45">
        <f t="shared" si="17"/>
        <v>9626382.988397779</v>
      </c>
      <c r="M50" s="46" t="s">
        <v>34</v>
      </c>
      <c r="N50" s="29">
        <f>(2*SUM(D40:K47))^(1/2)</f>
        <v>116810.48608426833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illustative purposes only</dc:creator>
  <cp:keywords/>
  <dc:description/>
  <cp:lastModifiedBy>garvald</cp:lastModifiedBy>
  <cp:lastPrinted>2009-07-20T06:43:04Z</cp:lastPrinted>
  <dcterms:created xsi:type="dcterms:W3CDTF">2005-10-03T08:05:38Z</dcterms:created>
  <dcterms:modified xsi:type="dcterms:W3CDTF">2009-07-21T11:53:57Z</dcterms:modified>
  <cp:category/>
  <cp:version/>
  <cp:contentType/>
  <cp:contentStatus/>
</cp:coreProperties>
</file>